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C:\Users\yuran\Documents\IMEBU\Observatorio Económico\BASES DE DATOS IMEBU\2023\3. MARZO\"/>
    </mc:Choice>
  </mc:AlternateContent>
  <xr:revisionPtr revIDLastSave="0" documentId="13_ncr:1_{8B7296BD-4616-462A-9139-25FCAEBB2486}" xr6:coauthVersionLast="47" xr6:coauthVersionMax="47" xr10:uidLastSave="{00000000-0000-0000-0000-000000000000}"/>
  <bookViews>
    <workbookView xWindow="-120" yWindow="-120" windowWidth="20730" windowHeight="11160" xr2:uid="{3C477AA0-F915-4769-A136-0D66854F65D7}"/>
  </bookViews>
  <sheets>
    <sheet name="PA 2023" sheetId="2" r:id="rId1"/>
    <sheet name="Contratación" sheetId="3" r:id="rId2"/>
    <sheet name="Gastos_Marzo" sheetId="13" r:id="rId3"/>
    <sheet name="% METAS CDE" sheetId="4" state="hidden" r:id="rId4"/>
    <sheet name="Resultado por Estrategias" sheetId="6" r:id="rId5"/>
    <sheet name="Recursos Gestionados" sheetId="5" state="hidden" r:id="rId6"/>
    <sheet name="Gastos_Febrero" sheetId="8" state="hidden" r:id="rId7"/>
    <sheet name="Gastos_Enero" sheetId="9" state="hidden" r:id="rId8"/>
    <sheet name="Avance a cuatrienio" sheetId="10" state="hidden" r:id="rId9"/>
    <sheet name="Gastos_Dic 22" sheetId="7" state="hidden" r:id="rId10"/>
  </sheets>
  <externalReferences>
    <externalReference r:id="rId11"/>
  </externalReferences>
  <definedNames>
    <definedName name="_xlnm._FilterDatabase" localSheetId="1" hidden="1">Contratación!$A$1:$O$153</definedName>
    <definedName name="_xlnm._FilterDatabase" localSheetId="0" hidden="1">'PA 2023'!$A$8:$AR$21</definedName>
    <definedName name="_xlnm.Print_Area" localSheetId="8">'Avance a cuatrienio'!$A$1:$AP$29</definedName>
    <definedName name="_xlnm.Print_Area" localSheetId="1">Contratación!$B$1:$O$63</definedName>
    <definedName name="_xlnm.Print_Area" localSheetId="4">'Resultado por Estrategias'!$A$1:$V$24</definedName>
    <definedName name="_xlnm.Print_Titles" localSheetId="8">'Avance a cuatrienio'!$3:$14</definedName>
  </definedNames>
  <calcPr calcId="191029"/>
  <pivotCaches>
    <pivotCache cacheId="9" r:id="rId1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25" i="10" l="1"/>
  <c r="AI24" i="10"/>
  <c r="AI23" i="10"/>
  <c r="AI21" i="10"/>
  <c r="AI20" i="10"/>
  <c r="AI19" i="10"/>
  <c r="AI18" i="10"/>
  <c r="AI17" i="10"/>
  <c r="AI16" i="10"/>
  <c r="AI15" i="10"/>
  <c r="C21" i="6"/>
  <c r="AP9" i="2" l="1"/>
  <c r="AP10" i="2"/>
  <c r="H5" i="5"/>
  <c r="H4" i="5"/>
  <c r="H2" i="5"/>
  <c r="AC20" i="2"/>
  <c r="AC19" i="2"/>
  <c r="AI20" i="2"/>
  <c r="AI19" i="2"/>
  <c r="AI13" i="2"/>
  <c r="AI9" i="2"/>
  <c r="S86" i="13"/>
  <c r="R86" i="13"/>
  <c r="Q86" i="13"/>
  <c r="O86" i="13"/>
  <c r="N86" i="13"/>
  <c r="W84" i="13"/>
  <c r="V84" i="13"/>
  <c r="U84" i="13"/>
  <c r="P84" i="13"/>
  <c r="M84" i="13"/>
  <c r="L84" i="13"/>
  <c r="K84" i="13"/>
  <c r="W83" i="13"/>
  <c r="V83" i="13"/>
  <c r="U83" i="13"/>
  <c r="P83" i="13"/>
  <c r="M83" i="13"/>
  <c r="L83" i="13"/>
  <c r="K83" i="13"/>
  <c r="W82" i="13"/>
  <c r="V82" i="13"/>
  <c r="U82" i="13"/>
  <c r="P82" i="13"/>
  <c r="M82" i="13"/>
  <c r="L82" i="13"/>
  <c r="K82" i="13"/>
  <c r="W81" i="13"/>
  <c r="V81" i="13"/>
  <c r="U81" i="13"/>
  <c r="P81" i="13"/>
  <c r="M81" i="13"/>
  <c r="L81" i="13"/>
  <c r="K81" i="13"/>
  <c r="W80" i="13"/>
  <c r="W86" i="13" s="1"/>
  <c r="V80" i="13"/>
  <c r="U80" i="13"/>
  <c r="U86" i="13" s="1"/>
  <c r="P80" i="13"/>
  <c r="P86" i="13" s="1"/>
  <c r="M80" i="13"/>
  <c r="M86" i="13" s="1"/>
  <c r="L80" i="13"/>
  <c r="L86" i="13" s="1"/>
  <c r="K80" i="13"/>
  <c r="K86" i="13" s="1"/>
  <c r="N151" i="3"/>
  <c r="N150" i="3"/>
  <c r="N148" i="3"/>
  <c r="N146" i="3"/>
  <c r="N145" i="3"/>
  <c r="N143" i="3"/>
  <c r="N142" i="3"/>
  <c r="N141" i="3"/>
  <c r="N140" i="3"/>
  <c r="N139" i="3"/>
  <c r="N137" i="3"/>
  <c r="N135" i="3"/>
  <c r="N134" i="3"/>
  <c r="N133" i="3"/>
  <c r="N132" i="3"/>
  <c r="AI21" i="2" s="1"/>
  <c r="N131" i="3"/>
  <c r="N126" i="3"/>
  <c r="N125" i="3"/>
  <c r="N124" i="3"/>
  <c r="N129" i="3"/>
  <c r="N128" i="3"/>
  <c r="N127" i="3"/>
  <c r="N123" i="3"/>
  <c r="N122" i="3"/>
  <c r="N121" i="3"/>
  <c r="N120" i="3"/>
  <c r="N119" i="3"/>
  <c r="N118" i="3"/>
  <c r="N117" i="3"/>
  <c r="N116" i="3"/>
  <c r="N115" i="3"/>
  <c r="N114" i="3"/>
  <c r="N113" i="3"/>
  <c r="N112" i="3"/>
  <c r="N108" i="3"/>
  <c r="N107" i="3"/>
  <c r="N106" i="3"/>
  <c r="N105" i="3"/>
  <c r="N104" i="3"/>
  <c r="N103" i="3"/>
  <c r="N102" i="3"/>
  <c r="N101" i="3"/>
  <c r="N100" i="3"/>
  <c r="N99" i="3"/>
  <c r="N98" i="3"/>
  <c r="N97" i="3"/>
  <c r="AI19" i="3" s="1"/>
  <c r="N76" i="3"/>
  <c r="N75" i="3"/>
  <c r="N74" i="3"/>
  <c r="N72" i="3"/>
  <c r="N67" i="3"/>
  <c r="N65" i="3"/>
  <c r="N64" i="3"/>
  <c r="N59" i="3"/>
  <c r="N54" i="3"/>
  <c r="AI12" i="3" s="1"/>
  <c r="N47" i="3"/>
  <c r="N45" i="3"/>
  <c r="N17" i="3"/>
  <c r="N16" i="3"/>
  <c r="N15" i="3"/>
  <c r="N11" i="3"/>
  <c r="N7" i="3"/>
  <c r="AI21" i="3"/>
  <c r="AI16" i="3"/>
  <c r="AI16" i="2"/>
  <c r="AI15" i="3"/>
  <c r="AI15" i="2"/>
  <c r="AI13" i="3"/>
  <c r="AI11" i="3"/>
  <c r="AI11" i="2"/>
  <c r="AI10" i="3"/>
  <c r="AI10" i="2"/>
  <c r="AI9" i="3"/>
  <c r="AC21" i="3"/>
  <c r="AC21" i="2"/>
  <c r="AC20" i="3"/>
  <c r="AC19" i="3"/>
  <c r="AC18" i="3"/>
  <c r="AC18" i="2"/>
  <c r="AC16" i="3"/>
  <c r="AC16" i="2"/>
  <c r="AC15" i="3"/>
  <c r="AC15" i="2"/>
  <c r="AC13" i="3"/>
  <c r="AC13" i="2"/>
  <c r="AC12" i="3"/>
  <c r="AC12" i="2"/>
  <c r="AC11" i="3"/>
  <c r="AC11" i="2"/>
  <c r="AC10" i="3"/>
  <c r="AC10" i="2"/>
  <c r="AC9" i="3"/>
  <c r="AC9" i="2"/>
  <c r="W21" i="3"/>
  <c r="W21" i="2"/>
  <c r="W20" i="2"/>
  <c r="W19" i="3"/>
  <c r="W19" i="2"/>
  <c r="W18" i="3"/>
  <c r="W18" i="2"/>
  <c r="W16" i="3"/>
  <c r="W16" i="2"/>
  <c r="W15" i="3"/>
  <c r="W15" i="2"/>
  <c r="W13" i="3"/>
  <c r="W13" i="2"/>
  <c r="W12" i="3"/>
  <c r="W12" i="2"/>
  <c r="W11" i="3"/>
  <c r="W11" i="2"/>
  <c r="W10" i="3"/>
  <c r="W10" i="2"/>
  <c r="W9" i="3"/>
  <c r="W9" i="2"/>
  <c r="AI12" i="2" l="1"/>
  <c r="AN12" i="2" s="1"/>
  <c r="AI18" i="2"/>
  <c r="AN18" i="2" s="1"/>
  <c r="AN20" i="2"/>
  <c r="AI18" i="3"/>
  <c r="AI20" i="3"/>
  <c r="AI27" i="10"/>
  <c r="AM27" i="10" s="1"/>
  <c r="AN27" i="10" s="1"/>
  <c r="AO27" i="10" s="1"/>
  <c r="AE27" i="10"/>
  <c r="AG27" i="10" s="1"/>
  <c r="AA27" i="10"/>
  <c r="Y27" i="10"/>
  <c r="P27" i="10"/>
  <c r="R27" i="10" s="1"/>
  <c r="L27" i="10"/>
  <c r="K27" i="10"/>
  <c r="M27" i="10" s="1"/>
  <c r="G27" i="10"/>
  <c r="AL25" i="10"/>
  <c r="AD25" i="10"/>
  <c r="AE25" i="10" s="1"/>
  <c r="AG25" i="10" s="1"/>
  <c r="AB25" i="10"/>
  <c r="Y25" i="10"/>
  <c r="AA25" i="10" s="1"/>
  <c r="R25" i="10"/>
  <c r="Q25" i="10"/>
  <c r="P25" i="10"/>
  <c r="L25" i="10"/>
  <c r="K25" i="10"/>
  <c r="M25" i="10" s="1"/>
  <c r="J25" i="10"/>
  <c r="G25" i="10"/>
  <c r="AL24" i="10"/>
  <c r="AD24" i="10"/>
  <c r="AB24" i="10"/>
  <c r="Y24" i="10"/>
  <c r="AA24" i="10" s="1"/>
  <c r="Q24" i="10"/>
  <c r="P24" i="10"/>
  <c r="R24" i="10" s="1"/>
  <c r="M24" i="10"/>
  <c r="L24" i="10"/>
  <c r="K24" i="10"/>
  <c r="G24" i="10"/>
  <c r="AL23" i="10"/>
  <c r="AJ23" i="10"/>
  <c r="AD23" i="10"/>
  <c r="AB23" i="10"/>
  <c r="AA23" i="10"/>
  <c r="Y23" i="10"/>
  <c r="Q23" i="10"/>
  <c r="P23" i="10"/>
  <c r="R23" i="10" s="1"/>
  <c r="L23" i="10"/>
  <c r="K23" i="10"/>
  <c r="M23" i="10" s="1"/>
  <c r="G23" i="10"/>
  <c r="AI22" i="10"/>
  <c r="AM22" i="10" s="1"/>
  <c r="AO22" i="10" s="1"/>
  <c r="AJ21" i="10"/>
  <c r="AL21" i="10" s="1"/>
  <c r="AD21" i="10"/>
  <c r="AE21" i="10" s="1"/>
  <c r="AG21" i="10" s="1"/>
  <c r="AB21" i="10"/>
  <c r="AA21" i="10"/>
  <c r="Y21" i="10"/>
  <c r="Q21" i="10"/>
  <c r="P21" i="10"/>
  <c r="R21" i="10" s="1"/>
  <c r="L21" i="10"/>
  <c r="K21" i="10"/>
  <c r="M21" i="10" s="1"/>
  <c r="G21" i="10"/>
  <c r="AJ20" i="10"/>
  <c r="AL20" i="10" s="1"/>
  <c r="AD20" i="10"/>
  <c r="AB20" i="10"/>
  <c r="Y20" i="10"/>
  <c r="AA20" i="10" s="1"/>
  <c r="Q20" i="10"/>
  <c r="P20" i="10"/>
  <c r="R20" i="10" s="1"/>
  <c r="M20" i="10"/>
  <c r="L20" i="10"/>
  <c r="K20" i="10"/>
  <c r="G20" i="10"/>
  <c r="AD19" i="10"/>
  <c r="AB19" i="10"/>
  <c r="Y19" i="10"/>
  <c r="AA19" i="10" s="1"/>
  <c r="Q19" i="10"/>
  <c r="P19" i="10"/>
  <c r="R19" i="10" s="1"/>
  <c r="M19" i="10"/>
  <c r="L19" i="10"/>
  <c r="K19" i="10"/>
  <c r="G19" i="10"/>
  <c r="AL18" i="10"/>
  <c r="AD18" i="10"/>
  <c r="AB18" i="10"/>
  <c r="Y18" i="10"/>
  <c r="AA18" i="10" s="1"/>
  <c r="Q18" i="10"/>
  <c r="P18" i="10"/>
  <c r="R18" i="10" s="1"/>
  <c r="L18" i="10"/>
  <c r="K18" i="10"/>
  <c r="M18" i="10" s="1"/>
  <c r="G18" i="10"/>
  <c r="AJ17" i="10"/>
  <c r="AL17" i="10" s="1"/>
  <c r="AE17" i="10"/>
  <c r="AG17" i="10" s="1"/>
  <c r="AB17" i="10"/>
  <c r="Y17" i="10"/>
  <c r="AA17" i="10" s="1"/>
  <c r="Q17" i="10"/>
  <c r="P17" i="10"/>
  <c r="R17" i="10" s="1"/>
  <c r="M17" i="10"/>
  <c r="L17" i="10"/>
  <c r="K17" i="10"/>
  <c r="G17" i="10"/>
  <c r="AJ16" i="10"/>
  <c r="AL16" i="10" s="1"/>
  <c r="AD16" i="10"/>
  <c r="AB16" i="10"/>
  <c r="Y16" i="10"/>
  <c r="AA16" i="10" s="1"/>
  <c r="R16" i="10"/>
  <c r="Q16" i="10"/>
  <c r="P16" i="10"/>
  <c r="M16" i="10"/>
  <c r="L16" i="10"/>
  <c r="K16" i="10"/>
  <c r="G16" i="10"/>
  <c r="AD15" i="10"/>
  <c r="AB15" i="10"/>
  <c r="Y15" i="10"/>
  <c r="AA15" i="10" s="1"/>
  <c r="R15" i="10"/>
  <c r="Q15" i="10"/>
  <c r="P15" i="10"/>
  <c r="L15" i="10"/>
  <c r="K15" i="10"/>
  <c r="M15" i="10" s="1"/>
  <c r="G15" i="10"/>
  <c r="S86" i="9"/>
  <c r="R86" i="9"/>
  <c r="Q86" i="9"/>
  <c r="P86" i="9"/>
  <c r="O86" i="9"/>
  <c r="N86" i="9"/>
  <c r="Z84" i="9"/>
  <c r="X84" i="9"/>
  <c r="W84" i="9"/>
  <c r="V84" i="9"/>
  <c r="U84" i="9"/>
  <c r="M84" i="9"/>
  <c r="L84" i="9"/>
  <c r="K84" i="9"/>
  <c r="Z83" i="9"/>
  <c r="X83" i="9"/>
  <c r="W83" i="9"/>
  <c r="V83" i="9"/>
  <c r="U83" i="9"/>
  <c r="M83" i="9"/>
  <c r="L83" i="9"/>
  <c r="K83" i="9"/>
  <c r="Z82" i="9"/>
  <c r="X82" i="9"/>
  <c r="W82" i="9"/>
  <c r="V82" i="9"/>
  <c r="U82" i="9"/>
  <c r="M82" i="9"/>
  <c r="L82" i="9"/>
  <c r="K82" i="9"/>
  <c r="Z81" i="9"/>
  <c r="X81" i="9"/>
  <c r="W81" i="9"/>
  <c r="V81" i="9"/>
  <c r="U81" i="9"/>
  <c r="M81" i="9"/>
  <c r="L81" i="9"/>
  <c r="K81" i="9"/>
  <c r="Z80" i="9"/>
  <c r="X80" i="9"/>
  <c r="W80" i="9"/>
  <c r="V80" i="9"/>
  <c r="U80" i="9"/>
  <c r="U86" i="9" s="1"/>
  <c r="M80" i="9"/>
  <c r="M86" i="9" s="1"/>
  <c r="L80" i="9"/>
  <c r="L86" i="9" s="1"/>
  <c r="K80" i="9"/>
  <c r="K86" i="9" s="1"/>
  <c r="S86" i="8"/>
  <c r="R86" i="8"/>
  <c r="Q86" i="8"/>
  <c r="O86" i="8"/>
  <c r="N86" i="8"/>
  <c r="Z84" i="8"/>
  <c r="X84" i="8"/>
  <c r="W84" i="8"/>
  <c r="V84" i="8"/>
  <c r="U84" i="8"/>
  <c r="P84" i="8"/>
  <c r="M84" i="8"/>
  <c r="L84" i="8"/>
  <c r="K84" i="8"/>
  <c r="Z83" i="8"/>
  <c r="X83" i="8"/>
  <c r="W83" i="8"/>
  <c r="V83" i="8"/>
  <c r="U83" i="8"/>
  <c r="P83" i="8"/>
  <c r="M83" i="8"/>
  <c r="L83" i="8"/>
  <c r="K83" i="8"/>
  <c r="Z82" i="8"/>
  <c r="X82" i="8"/>
  <c r="W82" i="8"/>
  <c r="V82" i="8"/>
  <c r="U82" i="8"/>
  <c r="P82" i="8"/>
  <c r="M82" i="8"/>
  <c r="L82" i="8"/>
  <c r="K82" i="8"/>
  <c r="Z81" i="8"/>
  <c r="X81" i="8"/>
  <c r="W81" i="8"/>
  <c r="V81" i="8"/>
  <c r="U81" i="8"/>
  <c r="P81" i="8"/>
  <c r="M81" i="8"/>
  <c r="L81" i="8"/>
  <c r="K81" i="8"/>
  <c r="Z80" i="8"/>
  <c r="X80" i="8"/>
  <c r="W80" i="8"/>
  <c r="V80" i="8"/>
  <c r="U80" i="8"/>
  <c r="P80" i="8"/>
  <c r="M80" i="8"/>
  <c r="L80" i="8"/>
  <c r="L86" i="8" s="1"/>
  <c r="K80" i="8"/>
  <c r="S91" i="7"/>
  <c r="R91" i="7"/>
  <c r="Q91" i="7"/>
  <c r="P91" i="7"/>
  <c r="O91" i="7"/>
  <c r="N91" i="7"/>
  <c r="Z89" i="7"/>
  <c r="X89" i="7"/>
  <c r="W89" i="7"/>
  <c r="V89" i="7"/>
  <c r="U89" i="7"/>
  <c r="M89" i="7"/>
  <c r="L89" i="7"/>
  <c r="K89" i="7"/>
  <c r="Z88" i="7"/>
  <c r="X88" i="7"/>
  <c r="W88" i="7"/>
  <c r="V88" i="7"/>
  <c r="U88" i="7"/>
  <c r="M88" i="7"/>
  <c r="L88" i="7"/>
  <c r="K88" i="7"/>
  <c r="Z87" i="7"/>
  <c r="X87" i="7"/>
  <c r="W87" i="7"/>
  <c r="V87" i="7"/>
  <c r="U87" i="7"/>
  <c r="M87" i="7"/>
  <c r="L87" i="7"/>
  <c r="K87" i="7"/>
  <c r="Z86" i="7"/>
  <c r="X86" i="7"/>
  <c r="W86" i="7"/>
  <c r="V86" i="7"/>
  <c r="U86" i="7"/>
  <c r="M86" i="7"/>
  <c r="L86" i="7"/>
  <c r="K86" i="7"/>
  <c r="Z85" i="7"/>
  <c r="X85" i="7"/>
  <c r="W85" i="7"/>
  <c r="V85" i="7"/>
  <c r="U85" i="7"/>
  <c r="U91" i="7" s="1"/>
  <c r="M85" i="7"/>
  <c r="M91" i="7" s="1"/>
  <c r="L85" i="7"/>
  <c r="L91" i="7" s="1"/>
  <c r="K85" i="7"/>
  <c r="K91" i="7" s="1"/>
  <c r="T23" i="6"/>
  <c r="F23" i="6"/>
  <c r="S23" i="6" s="1"/>
  <c r="C23" i="6"/>
  <c r="M20" i="2" s="1"/>
  <c r="AI26" i="10" s="1"/>
  <c r="AM26" i="10" s="1"/>
  <c r="AN26" i="10" s="1"/>
  <c r="T22" i="6"/>
  <c r="F22" i="6"/>
  <c r="S22" i="6" s="1"/>
  <c r="C22" i="6"/>
  <c r="M19" i="2" s="1"/>
  <c r="O19" i="2" s="1"/>
  <c r="T21" i="6"/>
  <c r="F21" i="6"/>
  <c r="S21" i="6" s="1"/>
  <c r="M18" i="2"/>
  <c r="O18" i="2" s="1"/>
  <c r="T20" i="6"/>
  <c r="F20" i="6"/>
  <c r="S20" i="6" s="1"/>
  <c r="C20" i="6"/>
  <c r="M16" i="2" s="1"/>
  <c r="T19" i="6"/>
  <c r="F19" i="6"/>
  <c r="S19" i="6" s="1"/>
  <c r="C19" i="6"/>
  <c r="M14" i="2" s="1"/>
  <c r="T18" i="6"/>
  <c r="S18" i="6"/>
  <c r="F18" i="6"/>
  <c r="C18" i="6"/>
  <c r="T10" i="6"/>
  <c r="S10" i="6"/>
  <c r="F10" i="6"/>
  <c r="C10" i="6"/>
  <c r="T17" i="6"/>
  <c r="F17" i="6"/>
  <c r="S17" i="6" s="1"/>
  <c r="E17" i="6"/>
  <c r="C17" i="6"/>
  <c r="T16" i="6"/>
  <c r="F16" i="6"/>
  <c r="S16" i="6" s="1"/>
  <c r="C16" i="6"/>
  <c r="T15" i="6"/>
  <c r="F15" i="6"/>
  <c r="S15" i="6" s="1"/>
  <c r="C15" i="6"/>
  <c r="T14" i="6"/>
  <c r="F14" i="6"/>
  <c r="S14" i="6" s="1"/>
  <c r="C14" i="6"/>
  <c r="T13" i="6"/>
  <c r="F13" i="6"/>
  <c r="S13" i="6" s="1"/>
  <c r="C13" i="6"/>
  <c r="T12" i="6"/>
  <c r="F12" i="6"/>
  <c r="S12" i="6" s="1"/>
  <c r="C12" i="6"/>
  <c r="T11" i="6"/>
  <c r="F11" i="6"/>
  <c r="S11" i="6" s="1"/>
  <c r="C11" i="6"/>
  <c r="T9" i="6"/>
  <c r="F9" i="6"/>
  <c r="S9" i="6" s="1"/>
  <c r="C9" i="6"/>
  <c r="T8" i="6"/>
  <c r="F8" i="6"/>
  <c r="S8" i="6" s="1"/>
  <c r="C8" i="6"/>
  <c r="T7" i="6"/>
  <c r="F7" i="6"/>
  <c r="S7" i="6" s="1"/>
  <c r="C7" i="6"/>
  <c r="T6" i="6"/>
  <c r="F6" i="6"/>
  <c r="S6" i="6" s="1"/>
  <c r="C6" i="6"/>
  <c r="T5" i="6"/>
  <c r="F5" i="6"/>
  <c r="S5" i="6" s="1"/>
  <c r="C5" i="6"/>
  <c r="T4" i="6"/>
  <c r="F4" i="6"/>
  <c r="S4" i="6" s="1"/>
  <c r="C4" i="6"/>
  <c r="T3" i="6"/>
  <c r="F3" i="6"/>
  <c r="S3" i="6" s="1"/>
  <c r="C3" i="6"/>
  <c r="G6" i="5"/>
  <c r="F6" i="5"/>
  <c r="E6" i="5"/>
  <c r="H6" i="5"/>
  <c r="V16" i="2"/>
  <c r="V14" i="2"/>
  <c r="AN9" i="2"/>
  <c r="AN21" i="2"/>
  <c r="AN19" i="2"/>
  <c r="AN10" i="2"/>
  <c r="AN11" i="2"/>
  <c r="AN13" i="2"/>
  <c r="AN16" i="2"/>
  <c r="AN14" i="2"/>
  <c r="O15" i="2"/>
  <c r="O17" i="2"/>
  <c r="AB21" i="2"/>
  <c r="AB9" i="2"/>
  <c r="AB18" i="2"/>
  <c r="AB19" i="2"/>
  <c r="AB20" i="2"/>
  <c r="AB10" i="2"/>
  <c r="AB11" i="2"/>
  <c r="AB12" i="2"/>
  <c r="AB13" i="2"/>
  <c r="AB16" i="2"/>
  <c r="AB14" i="2"/>
  <c r="AH21" i="2"/>
  <c r="AH9" i="2"/>
  <c r="AH18" i="2"/>
  <c r="AH19" i="2"/>
  <c r="AH20" i="2"/>
  <c r="AH10" i="2"/>
  <c r="AH11" i="2"/>
  <c r="AH12" i="2"/>
  <c r="AH13" i="2"/>
  <c r="AH16" i="2"/>
  <c r="AH14" i="2"/>
  <c r="W22" i="2"/>
  <c r="A22" i="2" a="1"/>
  <c r="A22" i="2" s="1"/>
  <c r="AP22" i="2"/>
  <c r="AM22" i="2"/>
  <c r="AL22" i="2"/>
  <c r="AK22" i="2"/>
  <c r="AJ22" i="2"/>
  <c r="AG22" i="2"/>
  <c r="AF22" i="2"/>
  <c r="AE22" i="2"/>
  <c r="AD22" i="2"/>
  <c r="AA22" i="2"/>
  <c r="Z22" i="2"/>
  <c r="Y22" i="2"/>
  <c r="X22" i="2"/>
  <c r="U22" i="2"/>
  <c r="S22" i="2"/>
  <c r="R22" i="2"/>
  <c r="T22" i="2"/>
  <c r="AC22" i="2"/>
  <c r="O20" i="2" l="1"/>
  <c r="AJ25" i="10"/>
  <c r="AJ24" i="10"/>
  <c r="U18" i="6"/>
  <c r="U15" i="6"/>
  <c r="U11" i="6"/>
  <c r="M13" i="2"/>
  <c r="AJ19" i="10" s="1"/>
  <c r="AL19" i="10" s="1"/>
  <c r="M12" i="2"/>
  <c r="AM20" i="10"/>
  <c r="AN20" i="10" s="1"/>
  <c r="AO20" i="10" s="1"/>
  <c r="U20" i="6"/>
  <c r="M9" i="2"/>
  <c r="AJ15" i="10" s="1"/>
  <c r="AL15" i="10" s="1"/>
  <c r="U4" i="6"/>
  <c r="U8" i="6"/>
  <c r="U13" i="6"/>
  <c r="AM15" i="10"/>
  <c r="AN15" i="10" s="1"/>
  <c r="AO15" i="10" s="1"/>
  <c r="I6" i="5"/>
  <c r="AI22" i="2"/>
  <c r="AO14" i="2"/>
  <c r="AO11" i="2"/>
  <c r="Q18" i="3"/>
  <c r="Q18" i="2"/>
  <c r="V18" i="2" s="1"/>
  <c r="Q19" i="3"/>
  <c r="Q19" i="2"/>
  <c r="V19" i="2" s="1"/>
  <c r="Q20" i="2"/>
  <c r="V20" i="2" s="1"/>
  <c r="U16" i="6"/>
  <c r="U17" i="6"/>
  <c r="U21" i="6"/>
  <c r="U22" i="6"/>
  <c r="Q12" i="3"/>
  <c r="Q10" i="3"/>
  <c r="Q12" i="2"/>
  <c r="V12" i="2" s="1"/>
  <c r="Q10" i="2"/>
  <c r="V10" i="2" s="1"/>
  <c r="Q13" i="3"/>
  <c r="Q11" i="3"/>
  <c r="Q13" i="2"/>
  <c r="V13" i="2" s="1"/>
  <c r="Q11" i="2"/>
  <c r="V11" i="2" s="1"/>
  <c r="Q21" i="3"/>
  <c r="Q21" i="2"/>
  <c r="V21" i="2" s="1"/>
  <c r="AM17" i="10"/>
  <c r="P86" i="8"/>
  <c r="M86" i="8"/>
  <c r="W86" i="8"/>
  <c r="L28" i="10"/>
  <c r="AM23" i="10"/>
  <c r="AN23" i="10" s="1"/>
  <c r="AO23" i="10" s="1"/>
  <c r="U6" i="6"/>
  <c r="U19" i="6"/>
  <c r="K86" i="8"/>
  <c r="U86" i="8"/>
  <c r="Z86" i="8" s="1"/>
  <c r="Q9" i="3"/>
  <c r="Q9" i="2"/>
  <c r="AM16" i="10"/>
  <c r="AN16" i="10" s="1"/>
  <c r="AO16" i="10" s="1"/>
  <c r="AM25" i="10"/>
  <c r="AN25" i="10" s="1"/>
  <c r="AO25" i="10" s="1"/>
  <c r="AJ27" i="10"/>
  <c r="AL27" i="10" s="1"/>
  <c r="AO18" i="2"/>
  <c r="AO10" i="2"/>
  <c r="AO12" i="2"/>
  <c r="AO20" i="2"/>
  <c r="AO19" i="2"/>
  <c r="AO16" i="2"/>
  <c r="AO21" i="2"/>
  <c r="AO13" i="2"/>
  <c r="AN22" i="2"/>
  <c r="N16" i="2" s="1"/>
  <c r="O16" i="2" s="1"/>
  <c r="AO9" i="2"/>
  <c r="AH22" i="2"/>
  <c r="AB22" i="2"/>
  <c r="AE18" i="10"/>
  <c r="AG18" i="10" s="1"/>
  <c r="AE20" i="10"/>
  <c r="AG20" i="10" s="1"/>
  <c r="AE15" i="10"/>
  <c r="AG15" i="10" s="1"/>
  <c r="AM21" i="10"/>
  <c r="AN21" i="10" s="1"/>
  <c r="AO21" i="10" s="1"/>
  <c r="Z86" i="9"/>
  <c r="X86" i="8"/>
  <c r="M28" i="10"/>
  <c r="X86" i="9"/>
  <c r="AA28" i="10"/>
  <c r="AE16" i="10"/>
  <c r="AG16" i="10" s="1"/>
  <c r="AN17" i="10"/>
  <c r="AO17" i="10" s="1"/>
  <c r="AE19" i="10"/>
  <c r="AG19" i="10" s="1"/>
  <c r="AN22" i="10"/>
  <c r="AE24" i="10"/>
  <c r="AG24" i="10" s="1"/>
  <c r="AE23" i="10"/>
  <c r="AG23" i="10" s="1"/>
  <c r="X91" i="7"/>
  <c r="Z91" i="7"/>
  <c r="U12" i="6"/>
  <c r="U14" i="6"/>
  <c r="U7" i="6"/>
  <c r="U9" i="6"/>
  <c r="U3" i="6"/>
  <c r="U5" i="6"/>
  <c r="U23" i="6"/>
  <c r="AL28" i="10" l="1"/>
  <c r="AM24" i="10"/>
  <c r="AN24" i="10" s="1"/>
  <c r="AO24" i="10" s="1"/>
  <c r="AM19" i="10"/>
  <c r="AN19" i="10" s="1"/>
  <c r="AO19" i="10" s="1"/>
  <c r="AL30" i="10"/>
  <c r="O12" i="2"/>
  <c r="AG30" i="10"/>
  <c r="Q22" i="2"/>
  <c r="V9" i="2"/>
  <c r="V22" i="2" s="1"/>
  <c r="AG28" i="10"/>
  <c r="N19" i="2"/>
  <c r="N9" i="2"/>
  <c r="O9" i="2" s="1"/>
  <c r="N14" i="2"/>
  <c r="O14" i="2" s="1"/>
  <c r="N21" i="2"/>
  <c r="O21" i="2" s="1"/>
  <c r="N20" i="2"/>
  <c r="N10" i="2"/>
  <c r="O10" i="2" s="1"/>
  <c r="N11" i="2"/>
  <c r="O11" i="2" s="1"/>
  <c r="N12" i="2"/>
  <c r="AO22" i="2"/>
  <c r="N13" i="2"/>
  <c r="O13" i="2" s="1"/>
  <c r="N18" i="2"/>
  <c r="AJ18" i="10" l="1"/>
  <c r="AM18" i="10"/>
  <c r="AN18" i="10" s="1"/>
  <c r="AO18" i="10" s="1"/>
  <c r="AO28" i="10" s="1"/>
  <c r="O2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tc={BE81027A-3059-4CF0-878A-76B55764444D}</author>
  </authors>
  <commentList>
    <comment ref="B22" authorId="0" shapeId="0" xr:uid="{BE81027A-3059-4CF0-878A-76B55764444D}">
      <text>
        <t>[Comentario encadenado]
Su versión de Excel le permite leer este comentario encadenado; sin embargo, las ediciones que se apliquen se quitarán si el archivo se abre en una versión más reciente de Excel. Más información: https://go.microsoft.com/fwlink/?linkid=870924
Comentario:
    Incluye capacitados en la estrategia de Formación a la Medida (CURSOS EMPLEO)</t>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<sst xmlns="http://schemas.openxmlformats.org/spreadsheetml/2006/main" count="3269" uniqueCount="911">
  <si>
    <t xml:space="preserve"> PLAN DE ACCIÓN - PLAN DE DESARROLLO MUNICIPAL
INSTITUTO MUNICIPAL DE EMPLEO Y FOMENTO EMPRESARIAL DE BUCARAMANGA - IMEBU</t>
  </si>
  <si>
    <r>
      <t xml:space="preserve">Código:  </t>
    </r>
    <r>
      <rPr>
        <sz val="11"/>
        <rFont val="Arial"/>
        <family val="2"/>
      </rPr>
      <t>F-DPM-1210-238,37-030</t>
    </r>
  </si>
  <si>
    <r>
      <t xml:space="preserve">Versión: </t>
    </r>
    <r>
      <rPr>
        <sz val="11"/>
        <rFont val="Arial"/>
        <family val="2"/>
      </rPr>
      <t>1.0</t>
    </r>
  </si>
  <si>
    <r>
      <t>Fecha aprobación:</t>
    </r>
    <r>
      <rPr>
        <sz val="11"/>
        <rFont val="Arial"/>
        <family val="2"/>
      </rPr>
      <t xml:space="preserve"> Marzo-06-2023</t>
    </r>
  </si>
  <si>
    <r>
      <t xml:space="preserve">Página: </t>
    </r>
    <r>
      <rPr>
        <sz val="11"/>
        <rFont val="Arial"/>
        <family val="2"/>
      </rPr>
      <t>1 de 1</t>
    </r>
  </si>
  <si>
    <t xml:space="preserve">FECHA DE SUSCRIPCIÓN:  </t>
  </si>
  <si>
    <t>FECHA DE CORTE:</t>
  </si>
  <si>
    <t>PDM 2020-2023</t>
  </si>
  <si>
    <t>PROYECTOS DE INVERSIÓN</t>
  </si>
  <si>
    <t>CUMPLIMIENTO DE META</t>
  </si>
  <si>
    <t>RECURSOS PROGRAMADOS</t>
  </si>
  <si>
    <t>RECURSOS APROPIADOS</t>
  </si>
  <si>
    <t>RECURSOS COMPROMETIDOS</t>
  </si>
  <si>
    <t>RECURSOS OBLIGADOS</t>
  </si>
  <si>
    <t>EJECUCIÓN PPTAL</t>
  </si>
  <si>
    <t>RECURSOS GESTIONADOS</t>
  </si>
  <si>
    <t>RESPONSABLES</t>
  </si>
  <si>
    <t>No.</t>
  </si>
  <si>
    <t>Línea estratégica</t>
  </si>
  <si>
    <t>Componente</t>
  </si>
  <si>
    <t xml:space="preserve">Programa </t>
  </si>
  <si>
    <t>Meta PDM</t>
  </si>
  <si>
    <t>Indicador de producto</t>
  </si>
  <si>
    <t>Código BPIN</t>
  </si>
  <si>
    <t>Nombre del Proyecto</t>
  </si>
  <si>
    <t>Actividades</t>
  </si>
  <si>
    <t>Fecha inicio</t>
  </si>
  <si>
    <t>Fecha de terminación</t>
  </si>
  <si>
    <t>Meta programada</t>
  </si>
  <si>
    <t>Meta ejecutada</t>
  </si>
  <si>
    <t>PESO</t>
  </si>
  <si>
    <t>AVANCE</t>
  </si>
  <si>
    <t>Rubro</t>
  </si>
  <si>
    <t>RECURSOS PROPIOS MUNICIPIO</t>
  </si>
  <si>
    <t>SGP</t>
  </si>
  <si>
    <t>SGR</t>
  </si>
  <si>
    <t>RECURSOS PROPIOS INSTITUTOS</t>
  </si>
  <si>
    <t>OTROS</t>
  </si>
  <si>
    <t>TOTAL PROGRAMADO</t>
  </si>
  <si>
    <t>TOTAL APROPIADO</t>
  </si>
  <si>
    <t>TOTAL COMPROMETIDO</t>
  </si>
  <si>
    <t>TOTAL OBLIGADO</t>
  </si>
  <si>
    <t>Dependencia</t>
  </si>
  <si>
    <t>Responsable</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</si>
  <si>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</si>
  <si>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</si>
  <si>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</si>
  <si>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</si>
  <si>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</si>
  <si>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</si>
  <si>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</si>
  <si>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2.3.2.02.02.007.01
2.3.2.02.02.009.05</t>
  </si>
  <si>
    <t>IMEBU</t>
  </si>
  <si>
    <t>Luis Gonzalo Gómez Guerrero</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</si>
  <si>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</si>
  <si>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</si>
  <si>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</si>
  <si>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</si>
  <si>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</si>
  <si>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 xml:space="preserve">
2.3.2.02.02.007.02</t>
  </si>
  <si>
    <t>Desarrollar el modelo CDE virtual para que amplíen la cobertura en la ciudad.</t>
  </si>
  <si>
    <t>Porcentaje de avance en el desarrollo del modelo CDE virtual para que amplíen la cobertura en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</si>
  <si>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t>
  </si>
  <si>
    <t>2.3.2.02.02.009.03</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</si>
  <si>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</si>
  <si>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</si>
  <si>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2.3.2.02.02.006.01
2.3.2.02.02.007.02
2.3.2.02.02.009.03</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</si>
  <si>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</si>
  <si>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</si>
  <si>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Identificar habilidades y destrezas de emprendedores, empresarios y ciudadanos para orientarlos hacia el emprendimiento o la empleabilidad.</t>
  </si>
  <si>
    <t xml:space="preserve">
2.3.2.02.02.007.02
2.3.2.02.02.009.03</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</si>
  <si>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</si>
  <si>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</si>
  <si>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</si>
  <si>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APOYO DEL FONDO DE FOMENTO Y CRÉDITO DE APOYO DEL IMEBU, PROGRAMA BANCA CIUDADANA EN EL MUNICIPIO DE BUCARAMANGA</t>
  </si>
  <si>
    <t>Otorgar créditos para el emprendimiento y/o fortalecimiento financiero de empresas orientados a capital de trabajo, nómina y/o activos fijos.
Realizar acompañamiento técnico y visitas pos crédito a los emprendimientos y/o empresas apoyadas.</t>
  </si>
  <si>
    <t>2.3.2.02.02.009.01
2.3.2.02.02.009.02</t>
  </si>
  <si>
    <t>APOYO A LAS LÍNEAS DE CRÉDITO CONDONABLE Y NO CONDONABLE DEL FONDO DE FOMENTO Y CRÉDITO DEL IMEBU PROGRAMA BANCA CIUDADANA EN EL MUNICIPIO DE BUCARAMANGA</t>
  </si>
  <si>
    <t>Otorgar créditos no condonables para el fortalecimiento financiero de empresas y/o emprendimientos
Otorgar créditos condonables para el fortalecimiento financiero de proyectos productivos, empresas y/o emprendimientos de población vulnerable</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</si>
  <si>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</si>
  <si>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</si>
  <si>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</si>
  <si>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</si>
  <si>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</si>
  <si>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</si>
  <si>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</si>
  <si>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
Garantizar la operatividad y continuidad del programa de empleo y la oficina de empleabilidad del Instituto Municipal de Empleo y fomento empresarial - IMEBU.</t>
  </si>
  <si>
    <t>2.3.2.02.02.009.04 </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</si>
  <si>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</si>
  <si>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</si>
  <si>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</si>
  <si>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</si>
  <si>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</si>
  <si>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</si>
  <si>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</si>
  <si>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</si>
  <si>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</si>
  <si>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FORTALECIMIENTO DE LOS PROCESOS DEL INSTITUTO MUNICIPAL DE EMPLEO Y FOMENTO EMPRESARIAL DEL MUNICIPIO DE BUCARAMANGA</t>
  </si>
  <si>
    <t>Apoyar los procesos administrativos, juridicos y de control interno del IMEBU.
Realizar acompañamiento, seguimiento y control de los programas y proyectos misionales del IMEBU.</t>
  </si>
  <si>
    <t>2.3.2.02.02.009.06 </t>
  </si>
  <si>
    <t>TOTALES</t>
  </si>
  <si>
    <t>No. Meta (la del PA)</t>
  </si>
  <si>
    <t>Meta PDM (Copiar la meta del PA)</t>
  </si>
  <si>
    <t>BPIN</t>
  </si>
  <si>
    <t>Nombre proyecto de inversión</t>
  </si>
  <si>
    <t>Objeto de la contratación/pago/transferencia/etc</t>
  </si>
  <si>
    <t>No. contrato/convenio/pago/resolución/etc</t>
  </si>
  <si>
    <t>Tipo de contrato</t>
  </si>
  <si>
    <t>Modalidad</t>
  </si>
  <si>
    <t>Nombre Contratista</t>
  </si>
  <si>
    <t>Fecha RP</t>
  </si>
  <si>
    <t>Total apropiado</t>
  </si>
  <si>
    <t>Total comprometido</t>
  </si>
  <si>
    <t>Total obligado (pagos+cxp)</t>
  </si>
  <si>
    <t>Referencia Secop II</t>
  </si>
  <si>
    <t>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t>
  </si>
  <si>
    <t>076-2023</t>
  </si>
  <si>
    <t>CPS</t>
  </si>
  <si>
    <t>DIRECTA</t>
  </si>
  <si>
    <t>ARCINIEGAS VARGAS OSCAR ORLANDO</t>
  </si>
  <si>
    <t>2.3.2.02.02.009.05</t>
  </si>
  <si>
    <t xml:space="preserve">https://community.secop.gov.co/Public/Tendering/OpportunityDetail/Index?noticeUID=CO1.NTC.4041667&amp;isFromPublicArea=True&amp;isModal=False
</t>
  </si>
  <si>
    <t>PRESTAR LOS SERVICIOS PROFESIONALES DE CARÁCTER TEMPORAL PARA BRINDAR APOYO Y ACOMPAÑAMIENTO A EMPRESARIOS Y EMPRENDEDORES DE LA CIUDAD, EN EL DISEÑO Y CREACIÓN DE PÁGINAS WEB EN EL MARCO DEL PROGRAMA COWORKING DEL IMEBU</t>
  </si>
  <si>
    <t>063-2023</t>
  </si>
  <si>
    <t>BAYONA GARCIA MARIO JESUS</t>
  </si>
  <si>
    <t>https://community.secop.gov.co/Public/Tendering/OpportunityDetail/Index?noticeUID=CO1.NTC.3892847&amp;isFromPublicArea=True&amp;isModal=False</t>
  </si>
  <si>
    <t>AUNAR ESFUERZOS PARA FOMENTAR EL EMPRENDIMIENTO, LA CIENCIA, TECNOLOGÍA E INNOVACIÓN MEDIANTE LA PARTICIPACIÓN EN EL PROYECTO S-INNOVA BUCARAMANGA.</t>
  </si>
  <si>
    <t>002-2023</t>
  </si>
  <si>
    <t>CA</t>
  </si>
  <si>
    <t>CAMARA DE COMERCIO DE BUCARAMANGA</t>
  </si>
  <si>
    <t>2.3.2.02.02.007.01</t>
  </si>
  <si>
    <t xml:space="preserve">https://community.secop.gov.co/Public/Tendering/OpportunityDetail/Index?noticeUID=CO1.NTC.4002380&amp;isFromPublicArea=True&amp;isModal=False
</t>
  </si>
  <si>
    <t xml:space="preserve">PRESTAR LOS SERVICIOS DE APOYO A LA GESTIÓN, PARA COADYUVAR EN LAS ACTIVIDADES ASISTENCIALES, OPERATIVAS Y LOGÍSTICAS REQUERIDAS PARA LA ESTRATEGIA INCUBADORA DE EMPRENDIMIENTOS, EN EL MARCO DEL PROGRAMA MISIONAL COWORKING DEL IMEBU. </t>
  </si>
  <si>
    <t>080-2023</t>
  </si>
  <si>
    <t>CARDENAS BARILLAS SANDRA LILIANA</t>
  </si>
  <si>
    <t xml:space="preserve">https://community.secop.gov.co/Public/Tendering/OpportunityDetail/Index?noticeUID=CO1.NTC.4051159&amp;isFromPublicArea=True&amp;isModal=False
</t>
  </si>
  <si>
    <t>PRESTAR LOS SERVICIOS PROFESIONALES DE CARACTER TEMPORAL PARA BRINDAR APOYO Y SEGUIMIENTO TECNICO, ADMINISTRATIVO Y COMERCIAL A EMPRENDEDORES Y EMPRESARIOS DE LA CIUDAD, DE ACUERDO A LA ESTRATEGIA INCUBADORA DE EMPRENDIMIENTOS, EN EL MARCO DEL PROGRAMA MISIONAL COWORKING DEL IMEBU</t>
  </si>
  <si>
    <t>048-2023</t>
  </si>
  <si>
    <t>CHARRY BOLIVAR LORENA</t>
  </si>
  <si>
    <t>https://community.secop.gov.co/Public/Tendering/OpportunityDetail/Index?noticeUID=CO1.NTC.3855802&amp;isFromPublicArea=True&amp;isModal=False</t>
  </si>
  <si>
    <t>PRESTAR LOS SERVICIOS PROFESIONALES DE CARÁCTER TEMPORAL PARA APOYAR EN LAS DIFERENTES ESTRATEGIAS DE MARKETING A EMPRESARIOS Y EMPRENDEDORES DE LA CIUDAD, EN EL MARCO DEL PROGRAMA COWORKING DEL IMEBU</t>
  </si>
  <si>
    <t>053-2023</t>
  </si>
  <si>
    <t>GARCIA ORTIZ SILVIA JULIANA</t>
  </si>
  <si>
    <t>https://community.secop.gov.co/Public/Tendering/OpportunityDetail/Index?noticeUID=CO1.NTC.3890153&amp;isFromPublicArea=True&amp;isModal=False</t>
  </si>
  <si>
    <t>PRESTAR LOS SERVICIOS PROFESIONALES DE CARÁCTER TEMPORAL COMO PRODUCTOR Y FOTÓGRAFO QUE CONTRIBUYA A IMPULSAR Y FORTALECER LAS CAMPAÑAS CREATIVAS DE EMPRESARIOS Y EMPRENDEDORES DE LA CIUDAD, EN EL MARCO DEL PROGRAMA COWORKING DEL IMEBU</t>
  </si>
  <si>
    <t>054-2023</t>
  </si>
  <si>
    <t>LEAL MORENO CRISTIAN CAMILO</t>
  </si>
  <si>
    <t>https://community.secop.gov.co/Public/Tendering/OpportunityDetail/Index?noticeUID=CO1.NTC.3891354&amp;isFromPublicArea=True&amp;isModal=False</t>
  </si>
  <si>
    <t>PRESTAR LOS SERVICIOS PROFESIONALES DE CARÁCTER TEMPORAL PARA BRINDAR APOYO EN ESTRATEGIAS DIGITALES Y AUTOMATIZACIÓN DE MARKETING, DIRIGIDO A EMPRESARIOS Y EMPRENDEDORES DE LA CIUDAD EN EL MARCO DE LA ESTRATEGIA AVANZA BGA-PROGRAMA COWORKING DEL IMEBU.</t>
  </si>
  <si>
    <t>035-2023</t>
  </si>
  <si>
    <t>LIZARAZO GUERRERO JUAN SEBASTIAN</t>
  </si>
  <si>
    <t>https://community.secop.gov.co/Public/Tendering/OpportunityDetail/Index?noticeUID=CO1.NTC.3824914&amp;isFromPublicArea=True&amp;isModal=False</t>
  </si>
  <si>
    <t>CD 23-00082, PRESTAR LOS SERVICIOS PROFESIONALES DE CARÁCTER TEMPORAL PARA BRINDAR APOYO A LA SUBDIRECCIÓN TÉCNICA EN LA GESTIÓN DE ESTRATEGIAS DIGITALES Y AUTOMATIZACIÓN DE MARKETING, DIRIGIDO A EMPRESARIOS Y EMPRENDEDORES DE BUCARAMANGA EN EL MARCO DE LA ESTRATEGIA AVANZA BGA -PROGRAMA COWORKING DEL IMEBU. CPS 071 DURACIÓN OCHO (08) MESES.</t>
  </si>
  <si>
    <t>071-2023</t>
  </si>
  <si>
    <t>LOPEZ LOPEZ YULIET DAYANA</t>
  </si>
  <si>
    <t>https://community.secop.gov.co/Public/Tendering/OpportunityDetail/Index?noticeUID=CO1.NTC.3961646&amp;isFromPublicArea=True&amp;isModal=False</t>
  </si>
  <si>
    <t>CD 23-00093, 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 CPS074, DURACIÓN CUATRO (04) MESES.</t>
  </si>
  <si>
    <t>074-2023</t>
  </si>
  <si>
    <t>MUñOZ AYALA DIANA CONSTANZA</t>
  </si>
  <si>
    <t xml:space="preserve">https://community.secop.gov.co/Public/Tendering/OpportunityDetail/Index?noticeUID=CO1.NTC.4022369&amp;isFromPublicArea=True&amp;isModal=False
</t>
  </si>
  <si>
    <t>CD 23-00095, 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 CPS 079, DURACIÓN CUATRO (04) MESES.</t>
  </si>
  <si>
    <t>079-2023</t>
  </si>
  <si>
    <t>PARRA ARCHILA ENITH DURLEY</t>
  </si>
  <si>
    <t xml:space="preserve">https://community.secop.gov.co/Public/Tendering/OpportunityDetail/Index?noticeUID=CO1.NTC.4043084&amp;isFromPublicArea=True&amp;isModal=False
</t>
  </si>
  <si>
    <t>PRESTAR LOS SERVICIOS PROFESIONALES DE CARÁCTER TEMPORAL PARA APOYAR LA GESTIÓN, RECEPCIÓN Y ENTREGA DE HERRAMIENTAS TECNOLÓGICAS, REQUERIDAS PARA EL PROCESO DE ACELERACIÓN EMPRESARIAL EN EL MARCO DEL PROGRAMA COWORKING DE LA ENTIDAD.</t>
  </si>
  <si>
    <t>018-2023</t>
  </si>
  <si>
    <t>PEREZ ROMERO LUIS JULIAN</t>
  </si>
  <si>
    <t>https://community.secop.gov.co/Public/Tendering/OpportunityDetail/Index?noticeUID=CO1.NTC.3789237&amp;isFromPublicArea=True&amp;isModal=False</t>
  </si>
  <si>
    <t>PRESTAR LOS SERVICIOS PROFESIONALES DE CARÁCTER TEMPORAL PARA COADYUVAR EN LA COORDINACIÓN, PUESTA EN MARCHA Y SEGUIMIENTO DE LAS ACCIONES REQUERIDAS BAJO LA ESTRATEGIA DE INCUBACIÓN EMPRESARIAL CREA BGA, EN EL MARCO DEL PROGRAMA COWORKING DEL IMEBU.</t>
  </si>
  <si>
    <t>049-2023</t>
  </si>
  <si>
    <t>PITA BERMUDEZ LAURA NATHALIA</t>
  </si>
  <si>
    <t>https://community.secop.gov.co/Public/Tendering/OpportunityDetail/Index?noticeUID=CO1.NTC.3855639&amp;isFromPublicArea=True&amp;isModal=False</t>
  </si>
  <si>
    <t>PRESTAR LOS SERVICIOS PROFESIONALES DE CARÁCTER TEMPORAL PARA BRINDAR APOYO EN LA COORDINACIÓN DE PROYECTOS DE INNOVACIÓN SOCIAL, EN EL MARCO DEL PROGRAMA MISIONAL DE LA ENTIDAD COWORKING.</t>
  </si>
  <si>
    <t>017-2023</t>
  </si>
  <si>
    <t>QUIÑONEZ SANTOS NUBIA MARCELA</t>
  </si>
  <si>
    <t>https://community.secop.gov.co/Public/Tendering/OpportunityDetail/Index?noticeUID=CO1.NTC.3785554&amp;isFromPublicArea=True&amp;isModal=False</t>
  </si>
  <si>
    <t>PRESTAR LOS SERVICIOS PROFESIONALES DE CARÁCTER TEMPORAL COMO DISEÑADOR GRÁFICO, PARA CONTRIBUIR EN EL DISEÑO DE PIEZAS GRÁFICAS QUE PERMITAN IMPULSAR Y FORTALECER LAS CAMPAÑAS CREATIVAS DE EMPRESARIOS Y EMPRENDEDORES DE LA CIUDAD DE BUCARAMANGA, EN EL MARCO DEL PROGRAMA COWORKING DEL IMEBU</t>
  </si>
  <si>
    <t>057-2023</t>
  </si>
  <si>
    <t>RAMIREZ RONDON EDGAR MATEO</t>
  </si>
  <si>
    <t>https://community.secop.gov.co/Public/Tendering/OpportunityDetail/Index?noticeUID=CO1.NTC.3890345&amp;isFromPublicArea=True&amp;isModal=False</t>
  </si>
  <si>
    <t>AUNAR ESFUERZOS TÉCNICOS, ADMINISTRATIVOS, OPERATIVOS Y ECONÓMICOS PARA COORDINAR ADMINISTRATIVAMENTE LOS CENTROS DE DESARROLLO EMPRESARIAL Y EMPLEABILIDAD - CDE, UBICADOS EN LOS BARRIOS CHAPINERO Y KENNEDY, Y BRINDAR EL ACOMPAÑAMIENTO EN LA RUTA DE EMPLEO DE LOS TRES CDE, CHAPINERO, KENNEY Y CAFÉ MADRID A PARTIR DEL MODELO DE OPERACIÓN VIGENTE</t>
  </si>
  <si>
    <t>001-2023</t>
  </si>
  <si>
    <t>COMFENALCO SANTANDER</t>
  </si>
  <si>
    <t>https://community.secop.gov.co/Public/Tendering/OpportunityDetail/Index?noticeUID=CO1.NTC.4023222&amp;isFromPublicArea=True&amp;isModal=False</t>
  </si>
  <si>
    <t>AUNAR ESFUERZOS TÉCNICOS, ADMINISTRATIVOS, OPERATIVOS Y ECONÓMICOS PARA COORDINAR ADMINISTRATIVAMENTE EL CENTRO DE DESARROLLO EMPRESARIAL Y EMPLEABILIDAD - CDE, UBICADO EN EL BARRIO CAFÉ MADRID Y PRESTAR EL ACOMPAÑAMIENTO EN LAS RUTAS DE EMPRENDIMIENTO Y DESARROLLO EMPRESARIAL DE TRES CDE A PARTIR DE LO SEÑALADO EN EL MODELO DE OPERACIÓN VIGENTE EN LA CIUDAD DE BUCARAMANGA</t>
  </si>
  <si>
    <t>https://community.secop.gov.co/Public/Tendering/OpportunityDetail/Index?noticeUID=CO1.NTC.4042930&amp;isFromPublicArea=True&amp;isModal=False</t>
  </si>
  <si>
    <t>ENTREGAR A TITULO DE ARRENDAMIENTO A FAVOR DEL INSTITUTO MUNICIPAL DE EMPLEO Y FOMENTO EMPRESARIAL DEL MUNICIPIO DE BUCARAMANGA -IMEBU, EL BIEN INMUEBLE UBICADO EN LA CARRERA 15 No. 2-71, PARA EL FUNCIONAMIENTO DEL CENTRO DE DESARROLLO EMPRESARIAL Y DE EMPLEABILIDAD -CDE SEDE CHAPINERO. CA CD-003 DE 2023.</t>
  </si>
  <si>
    <t>ARRENDAMIENTO</t>
  </si>
  <si>
    <t>CAMARGO GUTIERREZ FLOR HELENA</t>
  </si>
  <si>
    <t>2.3.2.02.02.007.02</t>
  </si>
  <si>
    <t>https://community.secop.gov.co/Public/Tendering/OpportunityDetail/Index?noticeUID=CO1.NTC.4061054&amp;isFromPublicArea=True&amp;isModal=False</t>
  </si>
  <si>
    <t>PRESTAR LOS SERVICIOS PROFESIONALES DE CARÁCTER TEMPORAL PARA APOYAR A LA SUBDIRECCIÓN TÉCNICA EN LA PLANEACIÓN, DISEÑO Y CONSTRUCCIÓN DE HERRAMIENTAS QUE PERMITAN UN AVANCE TECNOLÓGICO, DENTRO DE LA ESTRATEGIA MARKETPLACE EN EL MARCO DEL PROYECTO DE FORTALECIMIENTO DEL CENTRO DE DESARROLLO EMPRESARIAL Y DE EMPLEABIBLIDAD DE BUCARAMANGA - CDE.</t>
  </si>
  <si>
    <t>067-2023</t>
  </si>
  <si>
    <t>PEDROZO LOPEZ DAVID ALEJANDRO</t>
  </si>
  <si>
    <t>https://community.secop.gov.co/Public/Tendering/OpportunityDetail/Index?noticeUID=CO1.NTC.3950346&amp;isFromPublicArea=True&amp;isModal=False</t>
  </si>
  <si>
    <t>PRESTAR LOS SERVICIOS DE APOYO A LA GESTIÓN PARA COADYUVAR EN EL ANALISIS, DISEÑO, DESARROLLO, PRUEBAS, MANTENIMIENTO Y SOPORTE DE LOS SISTEMAS DE INFORMACIÓN Y SOLUCIONES DIGITALES, SEGÚN LAS NECESIDADES DE LOS CENTRO DE DESARROLLO EMPRESARIAL DEL IMEBU</t>
  </si>
  <si>
    <t>085-2023</t>
  </si>
  <si>
    <t>MAXIMILIANO GARAVITO</t>
  </si>
  <si>
    <t xml:space="preserve">https://community.secop.gov.co/Public/Tendering/OpportunityDetail/Index?noticeUID=CO1.NTC.4091147&amp;isFromPublicArea=True&amp;isModal=False
</t>
  </si>
  <si>
    <t>ARRENDAR EL SALON DENOMINADO "GRAN SALON", UBICADO EN EL CENTRO DE CONVENCIONES Y EVENTOS DE NEOMUNDO DE BUCARAMANGA PARA EL MONTAJE Y DESMONTAJE DEL EVENTO EXPOASOINDUCALS CUERO 2023, COMO APOYO A LOS PROCESOS DE REACTIVACIÓN ECONÓMICA Y DEL EMPLEO ADELANTADOS POR EL INSTITUTO MUNICIPAL DE EMPLEO Y FOMENTO EMPRESARIAL DEL MUNICIPIO DE BUCARAMANGA -IMEBU.</t>
  </si>
  <si>
    <t>CD</t>
  </si>
  <si>
    <t>CORPORACION CENTRO DE CONVENCIONES, CIENCIA, TECNOLOGIA, INNOVACION Y CULTURA DE</t>
  </si>
  <si>
    <t>PRESTAR LOS SERVICIOS PROFESIONALES DE CARÁCTER TEMPORAL PARA COADYUVAR EN LA COORDINACIÓN Y PUESTA EN MARCHA DE LAS ACCIONES REQUERIDAS DENTRO DE LA ESTRATEGIA MARKETPLACE, EN EL MARCO DEL PROYECTO DE FORTALECIMIENTO DEL CENTRO DE DESARROLLO EMPRESARIAL Y DE EMPLEABILIDAD DE BUCARAMANGA - CDE</t>
  </si>
  <si>
    <t>038-2023</t>
  </si>
  <si>
    <t>QUINTANILLA CALDERON MARLON GIOVANNY</t>
  </si>
  <si>
    <t>https://community.secop.gov.co/Public/Tendering/OpportunityDetail/Index?noticeUID=CO1.NTC.3843662&amp;isFromPublicArea=True&amp;isModal=False</t>
  </si>
  <si>
    <t>PRESTAR LOS SERVICIOS PROFESIONALES DE CARÁCTER TEMPORAL, PARA COADYUVAR EN LA PUESTA EN MARCHA Y ACOMPAÑAMIENTO DE LAS ACCIONES REALIZADAS DENTRO DE LA ESTRATEGIA DE REACTIVACIÓN ECONÓMICA - SOMOS LOCALES DEL IMEBU.</t>
  </si>
  <si>
    <t>039-2023</t>
  </si>
  <si>
    <t>QUINTERO TIRADO PEDRO ANGEL</t>
  </si>
  <si>
    <t>https://community.secop.gov.co/Public/Tendering/OpportunityDetail/Index?noticeUID=CO1.NTC.3844414&amp;isFromPublicArea=True&amp;isModal=False</t>
  </si>
  <si>
    <t>PRESTAR LOS SERVICIOS PROFESIONALES DE CARÁCTER TEMPORAL PARA APOYAR LOS DIFERENTES EVENTOS COMERCIALES QUE CONTRIBUYEN A LA GENERACIÓN DE ESTRATEGIAS PARA IMPULSAR A LOS EMPRESARIOS Y/O EMPRENDEDORES PRIORIZADOS EN EL MARCO DE LA ESTRATEGIA DE REACTIVACIÓN ECONÓMICA SOMOS LOCALES CDE</t>
  </si>
  <si>
    <t>028-2023</t>
  </si>
  <si>
    <t>RAVELO PEREZ BEATRIZ</t>
  </si>
  <si>
    <t>https://community.secop.gov.co/Public/Tendering/OpportunityDetail/Index?noticeUID=CO1.NTC.3808454&amp;isFromPublicArea=True&amp;isModal=False</t>
  </si>
  <si>
    <t>PRESTAR LOS SERVICIOS PROFESIONALES COMO ABOGADO DE CARÁCTER TEMPORAL PARA BRINDAR ASESORÍA JURÍDICA Y ACOMPAÑAR A EMPRESARIOS Y EMPRENDEDORES EN LAS GESTIONES REQUERIDAS DENTRO DEL PROCESO DE FORMALIZACIÓN EMPRESARIAL DEL CENTRO DE DESARROLLO EMPRESARIAL - CDE DEL IMEBU.</t>
  </si>
  <si>
    <t>042-2023</t>
  </si>
  <si>
    <t>MUÑOZ MARTINEZ CARLOS FERNANDO</t>
  </si>
  <si>
    <t>https://community.secop.gov.co/Public/Tendering/OpportunityDetail/Index?noticeUID=CO1.NTC.3845257&amp;isFromPublicArea=True&amp;isModal=False</t>
  </si>
  <si>
    <t>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 SOMOS LOCALES DE LOS CENTROS DE DESARROLLO EMPRESARIAL CDE.</t>
  </si>
  <si>
    <t>056-2023</t>
  </si>
  <si>
    <t>ALBERNIA DIAZ LUIS CARLOS</t>
  </si>
  <si>
    <t>https://community.secop.gov.co/Public/Tendering/OpportunityDetail/Index?noticeUID=CO1.NTC.3889932&amp;isFromPublicArea=True&amp;isModal=False</t>
  </si>
  <si>
    <t>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 SOMOS LOCALES DE LOS CENTROS DE DESARROLLO EMPRESARIAL CDE</t>
  </si>
  <si>
    <t>029-2023</t>
  </si>
  <si>
    <t>GAMARRA GRANADOS ANDRES FELIPE</t>
  </si>
  <si>
    <t>https://community.secop.gov.co/Public/Tendering/OpportunityDetail/Index?noticeUID=CO1.NTC.3809278&amp;isFromPublicArea=True&amp;isModal=False</t>
  </si>
  <si>
    <t>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SOMOS LOCALES DE LOS CENTROS DE DESARROLLO EMPRESARIAL CDE</t>
  </si>
  <si>
    <t>040-2023</t>
  </si>
  <si>
    <t>SILVA GUTIERREZ ANDRES ALBERTO</t>
  </si>
  <si>
    <t>https://community.secop.gov.co/Public/Tendering/OpportunityDetail/Index?noticeUID=CO1.NTC.3844515&amp;isFromPublicArea=True&amp;isModal=False</t>
  </si>
  <si>
    <t>PRESTAR LOS SERVICIOS PROFESIONALES DE CARÁCTER TEMPORAL PARA COADYUVAR EN LA PRODUCCIÓN Y FOTOGRAFÍA CON EL FIN DE IMPULSAR Y FORTALECER LA ESTRATEGIA MARKETPLACE, EN EL MARCO DEL PROYECTO DE FORTALECIMIENTO DEL CENTRO DE DESARROLLO EMPRESARIAL Y DE EMPLEABILIDAD DE BUCARAMANGA CDE</t>
  </si>
  <si>
    <t>050-2023</t>
  </si>
  <si>
    <t>CHAVEZ VELASQUEZ MARIA PAULA</t>
  </si>
  <si>
    <t>https://community.secop.gov.co/Public/Tendering/OpportunityDetail/Index?noticeUID=CO1.NTC.3875331&amp;isFromPublicArea=True&amp;isModal=False</t>
  </si>
  <si>
    <t>PRESTAR LOS SERVICIOS PROFESIONALES DE CARÁCTER TEMPORAL PARA APOYAR LAS ACCIONES ENCAMINADAS A LA GENERACIÓN DE ALIANZAS Y/O CONVENIOS QUE CONLLEVEN AUNAR ESFUERZOS QUE PERMITAN LA FORMALIZACIÓN E IMPLEMENTACIÓN DE LAS ESTRATEGIAS DE INCLUSIÓN PRODUCTIVA DEL IMEBU</t>
  </si>
  <si>
    <t>055-2023</t>
  </si>
  <si>
    <t>GARCIA RODRIGUEZ ANGELICA MARIA</t>
  </si>
  <si>
    <t>https://community.secop.gov.co/Public/Tendering/OpportunityDetail/Index?noticeUID=CO1.NTC.3889734&amp;isFromPublicArea=True&amp;isModal=False</t>
  </si>
  <si>
    <t>PRESTAR LOS SERVICIOS PROFESIONALES DE CARÁCTER TEMPORAL QUE COADYUVE EN EL DISEÑO Y TRANSFORMACIÓN VIRTUAL DE FORMA EFICIENTE E INTERACTIVA, A TRAVÉS DE LA MAQUETACIÓN DE SITIOS WEB PARA EMPRENDEDORES Y/O EMPRESARIOS PRIORIZADOS DENTRO DE LA ESTRATEGIA MARKETPLACE, EN EL MARCO DEL PROYECTO DE FORTALECIMIENTO DEL CENTRO DE DESARROLLO EMPRESARIAL Y DE EMPLEABILIDAD DE BUCARAMANGA - CDE</t>
  </si>
  <si>
    <t>045-2023</t>
  </si>
  <si>
    <t>SANGUINO QUINTERO GERSON JAHIR</t>
  </si>
  <si>
    <t>https://community.secop.gov.co/Public/Tendering/OpportunityDetail/Index?noticeUID=CO1.NTC.3851687&amp;isFromPublicArea=True&amp;isModal=False</t>
  </si>
  <si>
    <t>PRESTACIÓN DE SERVICIOS DE APOYO A LA GESTIÓN, PARA CONTRIBUIR EN LAS ACTIVIDADES LOGÍSTICAS Y TÉCNICAS QUE SE REQUIERAN EN LAS COMUNAS Y/O CORREGIMIENTOS DE BUCARAMANGA, DENTRO DE LA ESTRATEGIA DE REACTIVACIÓN ECONOMICA - SOMOS LOCALES DEL IMEBU.</t>
  </si>
  <si>
    <t>044-2023</t>
  </si>
  <si>
    <t>SALAZAR URIBE XIOMARA MARCELA</t>
  </si>
  <si>
    <t>https://community.secop.gov.co/Public/Tendering/OpportunityDetail/Index?noticeUID=CO1.NTC.3846318&amp;isFromPublicArea=True&amp;isModal=False</t>
  </si>
  <si>
    <t>PRESTAR LOS SERVICIOS PROFESIONALES DE CARÁCTER TEMPORAL, PARA APOYAR LOS DIFERENTES EVENTOS Y ACTIVIDADES COMERCIALES A CARGO DEL IMEBU E INCLUIDOS EN LA AGENDA DEL MUNICIPIO DE BUCARAMANGA, EN EL MARCO DE LA ESTRATEGIA DE REACTIVACIÓN ECONÓMICA -SOMOS LOCALES CDE.</t>
  </si>
  <si>
    <t>070-2023</t>
  </si>
  <si>
    <t>DUARTE GARCIA ADRIANA PATRICIA</t>
  </si>
  <si>
    <t>https://community.secop.gov.co/Public/Tendering/OpportunityDetail/Index?noticeUID=CO1.NTC.3960919&amp;isFromPublicArea=True&amp;isModal=False</t>
  </si>
  <si>
    <t>PRESTACIÓN DE SERVICIOS DE APOYO A LA GESTIÓN, PARA COADYUVAR EN LAS ACTIVIDADES OPERATIVAS, LOGÍSTICAS Y ASISTENCIALES QUE SE REQUIERAN DENTRO DE LA AGENDA DE EVENTOS COMERCIALES Y LOS ESPACIOS DE DIÁLOGOS ESTABLECIDOS EN LOS GRUPOS DE VALOR Y/O SECTORES PRIORIZADOS EN LAS COMUNAS Y/O CORREGIMIENTOS DE BUCARAMANGA.</t>
  </si>
  <si>
    <t>047-2023</t>
  </si>
  <si>
    <t>MALDONADO MALDONADO ISADORA</t>
  </si>
  <si>
    <t>https://community.secop.gov.co/Public/Tendering/OpportunityDetail/Index?noticeUID=CO1.NTC.3855217&amp;isFromPublicArea=True&amp;isModal=False</t>
  </si>
  <si>
    <t xml:space="preserve">PRESTAR LOS SERVICIOS PROFESIONALES DE CARÁCTER TEMPORAL PARA APOYAR A LA SUBDIRECCIÓN TÉCNICA EN LA PLANEACIÓN, DISEÑO Y CONSTRUCCIÓN DE HERRAMIENTAS QUE PERMITAN UN AVANCE TECNOLÓGICO, DENTRO DE LA ESTRATEGIA MARKETPLACE EN EL MARCO DEL PROYECTO DE FORTALECIMIENTO DEL CENTRO DE DESARROLLO EMPRESARIAL Y DE EMPLEABILIDAD DE BUCARAMANGA -CDE. </t>
  </si>
  <si>
    <t>068-2023</t>
  </si>
  <si>
    <t>RAMIREZ RIVERA ROBERTO CARLOS</t>
  </si>
  <si>
    <t>https://community.secop.gov.co/Public/Tendering/OpportunityDetail/Index?noticeUID=CO1.NTC.3950668&amp;isFromPublicArea=True&amp;isModal=False</t>
  </si>
  <si>
    <t xml:space="preserve">PRESTAR LOS SERVICIOS PROFESIONALES DE CARÁCTER TEMPORAL PARA CONTRIBUIR EN LAS GESTIONES TÉCNICAS REQUERIDAS DENTRO DE LA AGENDA DE EVENTOS COMERCIALES Y/O DIÁLOGOS CON LOS GRUPOS DE VALOR Y/O SECTORES PRIORIZADOS DE LAS COMUNAS Y/O CORREGIMIENTOS DE BUCARAMANGA, EN EL MARCO DE LA ESTRATEGIA PARA LA REACTIVACIÓN ECONÓMICA -SOMOS LOCALES DEL IMEBU. </t>
  </si>
  <si>
    <t>072-2023</t>
  </si>
  <si>
    <t>GUEVARA JAIMES OSCAR DAVID</t>
  </si>
  <si>
    <t>https://community.secop.gov.co/Public/Tendering/OpportunityDetail/Index?noticeUID=CO1.NTC.3971925&amp;isFromPublicArea=True&amp;isModal=False</t>
  </si>
  <si>
    <t>ARRENDAR EL SALÓN PRINCIPAL, UBICADO EN EL CLUB DEL COMERCIO DE BUCARAMANGA PARA EL MONTAJE Y DESMONTAJE DEL EVENTO "EXPOCALZADO BUCARAMANGA 2023", COMO APOYO A LOS PROCESOS DE REACTIVACIÓN ECONÓMICA Y DEL EMPLEO ADELANTADOS POR EL IMEBU EN EL MUNICIPIO DE BUCARAMANGA, DE ACUERDO A LAS ESPECIFICACIONES TÉCNICAS ESTABLECIDAS POR EL INSTITUTO MUNICIPAL DE EMPLEO Y FOMENTO EMPRESARIAL DEL MUNICIPIO DE BUCARAMANGA -IMEBU. CD002, ARRENDAMIENTO.</t>
  </si>
  <si>
    <t>CLUB DEL COMERCIO DE BUCARAMANGA S.A.</t>
  </si>
  <si>
    <t xml:space="preserve">https://community.secop.gov.co/Public/Tendering/OpportunityDetail/Index?noticeUID=CO1.NTC.4042521&amp;isFromPublicArea=True&amp;isModal=False
</t>
  </si>
  <si>
    <t>PRESTAR LOS SERVICIOS PROFESIONALES DE CARÁCTER TEMPORAL COMO COMUNICADOR SOCIAL, QUE CONTRIBUYA A LA VISIBILIZACIÓN EN COMUNAS Y CORREGIMIENTOS DEL MUNICIPIO DE BUCARAMANGA, DE LA GESTIÓN, ARTICULACIÓN E IMPLEMENTACIÓN DE PLANES, PROGRAMAS Y PROYECTOS DEL IMEBU EN EL MARCO DE LA ESTRATEGIA DE REACTIVACIÓN ECONÓMICA.</t>
  </si>
  <si>
    <t>041-2023</t>
  </si>
  <si>
    <t>GOMEZ RINCON JESSICA FERNANDA</t>
  </si>
  <si>
    <t>https://community.secop.gov.co/Public/Tendering/OpportunityDetail/Index?noticeUID=CO1.NTC.3844340&amp;isFromPublicArea=True&amp;isModal=False</t>
  </si>
  <si>
    <t>PRESTACIÓN DE SERVICIOS DE APOYO A LA GESTIÓN, PARA CONTRIBUIR EN LAS ACTIVIDADES LOGÍSTICAS, OPERATIVAS Y ASISTENCIALES QUE SE REQUIERAN EN LAS COMUNAS Y/O CORREGIMIENTOS DE BUCARAMANGA, DENTRO DE LA ESTRATEGIA DE REACTIVACIÓN ECONOMICA - SOMOS LOCALES DEL IMEBU.</t>
  </si>
  <si>
    <t>062-2023</t>
  </si>
  <si>
    <t>ARDILA SANDOVAL JURITH DANIELA</t>
  </si>
  <si>
    <t>https://community.secop.gov.co/Public/Tendering/OpportunityDetail/Index?noticeUID=CO1.NTC.3892169&amp;isFromPublicArea=True&amp;isModal=False</t>
  </si>
  <si>
    <t>PRESTACIÓN DE SERVICIOS DE APOYO A LA GESTIÓN, PARA CONTRIBUIR EN LAS ACTIVIDADES LOGÍSTICAS, OPERATIVAS Y ASISTENCIALES QUE SE REQUIERAN EN LAS COMUNAS Y/O CORREGIMIENTOS DE BUCARAMANGA, DENTRO DE LA ESTRATEGIA DE REACTIVACIÓN ECONÓMICA -SOMOS LOCALES DEL IMEBU.</t>
  </si>
  <si>
    <t>075-2023</t>
  </si>
  <si>
    <t>BAUTISTA GALLO CLAUDIA MILENA</t>
  </si>
  <si>
    <t>https://community.secop.gov.co/Public/Tendering/OpportunityDetail/Index?noticeUID=CO1.NTC.4041724&amp;isFromPublicArea=True&amp;isModal=False</t>
  </si>
  <si>
    <t>PRESTACIÓN DE SERVICIOS DE APOYO A LA GESTION PARA CONTRIBUIR EN LAS ACTIVIDADES LOGÍSTICAS Y TÉCNICAS QUE SE REQUIERAN EN LAS COMUNAS Y/O CORREGIMIENTOS DE BUCARAMANGA, DENTRO DE LA ESTRATEGIA DE REACTIVACIÓN ECONOMICA SOMOS LOCALES DEL IMEBU</t>
  </si>
  <si>
    <t>046-2023</t>
  </si>
  <si>
    <t>URIBE CAMACHO NATALIA ANDREA</t>
  </si>
  <si>
    <t>https://community.secop.gov.co/Public/Tendering/OpportunityDetail/Index?noticeUID=CO1.NTC.3851942&amp;isFromPublicArea=True&amp;isModal=False</t>
  </si>
  <si>
    <t>PRESTAR LOS SERVICIOS PROFESIONALES DE CARÁCTER TEMPORAL, PARA BRINDAR APOYO TÉCNICO A LA POBLACIÓN VULNERABLE DEL MUNICIPIO DE BUCARAMANGA, EN LAS GESTIONES REQUERIDAS PARA PARTICIPAR EN LAS DIFERENTES CONVOCATORIAS ADELANTADAS EN PRO DE LA INCLUSIÓN LABORAL, LA GENERACIÓN DE INGRESOS Y SOSTENIBILIDAD DE NUEVOS NEGOCIOS</t>
  </si>
  <si>
    <t>052-2023</t>
  </si>
  <si>
    <t>PICON GALVIS MILENA</t>
  </si>
  <si>
    <t>2.3.2.02.02.009.02</t>
  </si>
  <si>
    <t>https://community.secop.gov.co/Public/Tendering/OpportunityDetail/Index?noticeUID=CO1.NTC.3889762&amp;isFromPublicArea=True&amp;isModal=False</t>
  </si>
  <si>
    <t>PRESTAR LOS SERVICIOS PROFESIONALES DE CARÁCTER TEMPORAL, PARA APOYAR LA GESTIÓN ADMINISTRATIVA DEL SUPERVISOR DE CONVENIOS Y/O CONTRATOS SUSCRITOS EN EL MARCO DEL FONDO DE FOMENTO Y CRÉDITO DE APOYO DEL IMEBU BANCA CIUDADANA.</t>
  </si>
  <si>
    <t>059-2023</t>
  </si>
  <si>
    <t>TELLEZ SOLER EDWIN FABIAN</t>
  </si>
  <si>
    <t>https://community.secop.gov.co/Public/Tendering/OpportunityDetail/Index?noticeUID=CO1.NTC.3891543&amp;isFromPublicArea=True&amp;isModal=False</t>
  </si>
  <si>
    <t>PRESTAR LOS SERVICIOS PROFESIONALES DE CARÁCTER TEMPORAL PARA APOYAR LA COORDINACIÓN, ORIENTACIÓN Y ACOMPAÑAMIENTO AL PROGRAMA MISIONAL BANCA CIUDADANA DEL IMEBU.</t>
  </si>
  <si>
    <t>051-2023</t>
  </si>
  <si>
    <t>CARMEN ELENA RAMOS PRIETO</t>
  </si>
  <si>
    <t>https://community.secop.gov.co/Public/Tendering/OpportunityDetail/Index?noticeUID=CO1.NTC.3881721&amp;isFromPublicArea=True&amp;isModal=False</t>
  </si>
  <si>
    <t xml:space="preserve">PRESTACIÓN DE SERVICIOS PROFESIONALES A LA SUBDIRECCIÓN TÉCNICA PARA CONTRIBUIR CON LAS ACTIVIDADES COMERCIALES Y TÉCNICAS REQUERIDAS EN EL MARCO DEL PROGRAMA BANCA CIUDADANA, QUE CONTRIBUYAN A INCENTIVAR EL EMPRENDIMIENTO Y FORTALECER LAS EMPRESAS, MICOREMPRESAS Y UNIDADES PRODUCTIVAS DEL SECTOR. </t>
  </si>
  <si>
    <t>065-2023</t>
  </si>
  <si>
    <t>BONILLA CORTEZ SARAY VIVIANA</t>
  </si>
  <si>
    <t>https://community.secop.gov.co/Public/Tendering/OpportunityDetail/Index?noticeUID=CO1.NTC.3904108&amp;isFromPublicArea=True&amp;isModal=False</t>
  </si>
  <si>
    <t>PRESTACIÓN DE SERVICIOS DE APOYO A LA GESTIÓN, PARA COADYUVAR EN LAS ACTIVIDADES COMERCIALES REQUERIDAS EN EL MARCO DEL PROGRAMA BANCA CIUDADANA DEL IMEBU, QUE CONTRIBUYAN A INCENTIVAR EL EMPRENDIMIENTO Y FORTALECER LAS EMPRESAS, MICROEMPRESAS Y UNIDADES PRODUCTIVAS EN LA CIUDAD DE BUCARAMANGA.</t>
  </si>
  <si>
    <t>077-2023</t>
  </si>
  <si>
    <t>GUTIERREZ LOSADA PAULA ANDREA</t>
  </si>
  <si>
    <t xml:space="preserve">https://community.secop.gov.co/Public/Tendering/OpportunityDetail/Index?noticeUID=CO1.NTC.4042716&amp;isFromPublicArea=True&amp;isModal=False
</t>
  </si>
  <si>
    <t>PRESTAR LOS SERVICIOS PROFESIONALES DE CARÁCTER TEMPORAL PARA APOYAR LA RECOLECCIÓN, CLASIFICACIÓN, ADMINISTRACIÓN, ANÁLISIS Y SEGUIMIENTO DE INFORMACIÓN EN EL MARCO DEL PROGRAMA BANCA CIUDADANA ADELANTADO POR EL INSTITUTO MUNICIPAL DE EMPLEO Y FOMENTO EMPRESARIAL DEL MUNICIPIO DE BUCARAMANGA -IMEBU.</t>
  </si>
  <si>
    <t>078-2023</t>
  </si>
  <si>
    <t>OVIEDO URIBE OMAR GABRIEL</t>
  </si>
  <si>
    <t>https://community.secop.gov.co/Public/Tendering/OpportunityDetail/Index?noticeUID=CO1.NTC.4043122&amp;isFromPublicArea=True&amp;isModal=False</t>
  </si>
  <si>
    <t>PRESTACIÓN DE SERVICIOS PROFESIONALES A LA SUBDIRECCIÓN TÉCNICA PARA CONTRIBUIR CON LAS ACTIVIDADES COMERCIALES Y TÉCNICAS REQUERIDAS EN EL MARCO DEL PROGRAMA BANCA CIUDADANA, QUE CONTRIBUYAN A INCENTIVAR EL EMPRENDIMIENTO Y FORTALECER LAS EMPRESAS, MICOREMPRESAS Y UNIDADES PRODUCTIVAS DEL SECTOR.</t>
  </si>
  <si>
    <t>PRESTAR SERVICIOS DE APOYO A LA GESTIÓN, PARA CONTRIBUIR EN LA ATENCIÓN A USUARIOS BUSCADORES DE EMPLEO QUE REQUIERAN LOS SERVICIOS DE LA AGENCIA DE GESTIÓN Y COLOCACIÓN DE EMPLEO DEL IMEBU.</t>
  </si>
  <si>
    <t>019-2023</t>
  </si>
  <si>
    <t>PINTO SUAREZ JORGE ANDRES</t>
  </si>
  <si>
    <t>2.3.2.02.02.009.04</t>
  </si>
  <si>
    <t>https://community.secop.gov.co/Public/Tendering/OpportunityDetail/Index?noticeUID=CO1.NTC.3790967&amp;isFromPublicArea=True&amp;isModal=False</t>
  </si>
  <si>
    <t>PRESTACIÓN DE SERVICIOS DE APOYO A LA GESTÓN DE MANERA TEMPORAL, EN LA DIFUSIÓN Y ORIENTACIÓN A USUARIOS, DE ACUERDO A LOS SERVICIOS QUE PRESTA LA AGENCIA PÚBLICA DE EMPLEO DEL IMEBU Y EL CENTRO DE ATENCIÓN MUNICIPAL ESPECIALIZADO - CAME DE LA ALCALDIA DE BUCARAMANGA.</t>
  </si>
  <si>
    <t>027-2023</t>
  </si>
  <si>
    <t>BONZA OLARTE MYRIAM CRISTINA</t>
  </si>
  <si>
    <t>https://community.secop.gov.co/Public/Tendering/OpportunityDetail/Index?noticeUID=CO1.NTC.3801346&amp;isFromPublicArea=True&amp;isModal=False</t>
  </si>
  <si>
    <t>PRESTAR LOS SERVICIOS PROFESIONALES DE CARÁCTER TEMPORAL, PARA DESAROLLAR Y FORTALECER LAS COMPETENCIAS LABORALES A TRAVES DE TALLERES, CAPACITACIONES Y/O CONFERENCIAS, COMO PARTE DE LOS SERVICIOS QUE BRINDA LA AGENCIA DE GESTIÓN Y COLOCACIÓN DE EMPLEO DEL IMEBU</t>
  </si>
  <si>
    <t>026-2023</t>
  </si>
  <si>
    <t>MORENO MESA BELKYS</t>
  </si>
  <si>
    <t>https://community.secop.gov.co/Public/Tendering/OpportunityDetail/Index?noticeUID=CO1.NTC.3801128&amp;isFromPublicArea=True&amp;isModal=False</t>
  </si>
  <si>
    <t>PRESTAR LOS SERVICIOS PROFESIONALES DE CARÁCTER TEMPORAL PARA GESTIONAR, ARTICULAR E IMPLEMENTAR ACCIONES Y ESTRATEGIAS EMPRESARIALES EN EL MARCO DE PROGRAMAS ESPECIALES DE EMPLEO, A TRAVÉS DE LA AGENCIA DE GESTIÓN Y COLOCACIÓN DE EMPLEO DEL IMEBU.</t>
  </si>
  <si>
    <t>033-2023</t>
  </si>
  <si>
    <t>PEREZ ADARME MANUEL FELIPE</t>
  </si>
  <si>
    <t>https://community.secop.gov.co/Public/Tendering/OpportunityDetail/Index?noticeUID=CO1.NTC.3824248&amp;isFromPublicArea=True&amp;isModal=False</t>
  </si>
  <si>
    <t>PRESTAR LOS SERVICIOS PERSONALES Y DE APOYO A LA GESTIÓN, PARA COADYUVAR EN LA IMPLEMENTACIÓN Y DESARROLLO DE ESTRATEGIAS EMPRESARIALES EN EL MARCO DE LOS PROGRAMAS ESPECIALES DE LA AGENCIA DE GESTIÓN Y COLOCACIÓN DE EMPLEO DE LA ENTIDAD.</t>
  </si>
  <si>
    <t>034-2023</t>
  </si>
  <si>
    <t>FAJARDO LESMES DIANA</t>
  </si>
  <si>
    <t>https://community.secop.gov.co/Public/Tendering/OpportunityDetail/Index?noticeUID=CO1.NTC.3824470&amp;isFromPublicArea=True&amp;isModal=False</t>
  </si>
  <si>
    <t>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t>
  </si>
  <si>
    <t>030-2023</t>
  </si>
  <si>
    <t>DUARTE VASQUEZ LIDA SIRLEY</t>
  </si>
  <si>
    <t>https://community.secop.gov.co/Public/Tendering/OpportunityDetail/Index?noticeUID=CO1.NTC.3820683&amp;isFromPublicArea=True&amp;isModal=False</t>
  </si>
  <si>
    <t>PRESTAR LOS SERVICIOS PERSONALES Y DE APOYO A LA GESTIÓN, PARA DIFUNDIR Y BRINDAR ATENCIÓN A USUARIOS BUSCADORES DE EMPLEO Y EMPRESARIOS, DE ACUERDO A LOS SERVICIOS QUE PRESTA LA AGENCIA PÚBLICA DE EMPLEO DEL IMEBU</t>
  </si>
  <si>
    <t>032-2023</t>
  </si>
  <si>
    <t>VELANDIA VELANDIA MARLY</t>
  </si>
  <si>
    <t>https://community.secop.gov.co/Public/Tendering/OpportunityDetail/Index?noticeUID=CO1.NTC.3822692&amp;isFromPublicArea=True&amp;isModal=False</t>
  </si>
  <si>
    <t>PRESTAR LOS SERVICIOS PROFESIONALES DE CARÁCTER TEMPORAL COMO PSICÓLOGA, PARA BRINDAR ORIENTACIÓN E INTERMEDIACIÓN LABORAL, PARA USUARIOS Y EMPRESARIOS, EN EL MARCO DE LOS SERVICIOS QUE SE BRINDAN A TRAVES DE LA AGENCIA DE GESTIÓN Y COLOCACIÓN DE EMPLEO DEL IMEBU</t>
  </si>
  <si>
    <t>031-2023</t>
  </si>
  <si>
    <t>BAUTISTA LOPEZ KAREN NATALIA</t>
  </si>
  <si>
    <t>https://community.secop.gov.co/Public/Tendering/OpportunityDetail/Index?noticeUID=CO1.NTC.3822324&amp;isFromPublicArea=True&amp;isModal=False</t>
  </si>
  <si>
    <t>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t>
  </si>
  <si>
    <t>036-2023</t>
  </si>
  <si>
    <t>BETANCUR SANCHEZ FABIOLA ANDREA</t>
  </si>
  <si>
    <t>https://community.secop.gov.co/Public/Tendering/OpportunityDetail/Index?noticeUID=CO1.NTC.3825649&amp;isFromPublicArea=True&amp;isModal=False</t>
  </si>
  <si>
    <t>PRESTAR LOS SERVICIOS PROFESIONALES DE CARÁCTER TEMPORAL PARA APOYAR LA COORDINACIÓN, ORIENTACIÓN Y ACOMPAÑAMIENTO AL PROGRAMA MISIONAL DE EMPLEO Y EMPLEABILIDAD EN LA AGENCIA DE GESTIÓN Y COLOCACIÓN DE EMPLEO DEL IMEBU.</t>
  </si>
  <si>
    <t>043-2023</t>
  </si>
  <si>
    <t>CASTILLO MELGAREJO CESAR FERNANDO</t>
  </si>
  <si>
    <t>https://community.secop.gov.co/Public/Tendering/OpportunityDetail/Index?noticeUID=CO1.NTC.3845390&amp;isFromPublicArea=True&amp;isModal=False</t>
  </si>
  <si>
    <t>061-2023</t>
  </si>
  <si>
    <t>CHAPARRO PEÑA LAURA PATRICIA</t>
  </si>
  <si>
    <t>https://community.secop.gov.co/Public/Tendering/OpportunityDetail/Index?noticeUID=CO1.NTC.3892001&amp;isFromPublicArea=True&amp;isModal=False</t>
  </si>
  <si>
    <t>PRESTACIÓN DE SERVICIOS PROFESIONALES DE CARÁCTER TEMPORAL A LA OFICINA ASESORA JURÍDICA COMO ABOGADO PARA EL ACOMPAÑAMIENTO, ORIENTACIÓN Y APOYO EN EL ÁREA DE CONTRATACIÓN ESTATAL AL INSTITUTO MUNICIPAL DE EMPLEO Y FOMENTO EMPRESARIAL DE BUCARAMANGA -IMEBU.</t>
  </si>
  <si>
    <t>073-2023</t>
  </si>
  <si>
    <t>BARON AYALA EDSON RENE</t>
  </si>
  <si>
    <t>2.3.2.02.02.009.06</t>
  </si>
  <si>
    <t>https://community.secop.gov.co/Public/Tendering/OpportunityDetail/Index?noticeUID=CO1.NTC.3971950&amp;isFromPublicArea=True&amp;isModal=False</t>
  </si>
  <si>
    <t>PRESTAR LOS SERVICIOS PROFESIONALES DE CARÁCTER TEMPORAL PARA APOYAR LA RECOPILACIÓN, ALMACENAMIENTO, PROTECCIÓN Y USO DE DATOS DEL OBSERVATORIO ECONÓMICO DEL IMEBU, DE ACUERDO A LAS POLÍTICAS, HERRAMIENTAS Y PROCEDIMIENTOS DE LA ENTIDAD.</t>
  </si>
  <si>
    <t>021-2023</t>
  </si>
  <si>
    <t>CARDENAS MORENO PABLO SANTIAGO</t>
  </si>
  <si>
    <t>https://community.secop.gov.co/Public/Tendering/OpportunityDetail/Index?noticeUID=CO1.NTC.3791383&amp;isFromPublicArea=True&amp;isModal=False</t>
  </si>
  <si>
    <t>PRESTAR SERVICIOS PROFESIONALES COMO DISEÑADOR GRÁFICO DE CARÁCTER TEMPORAL PARA APOYAR LOS PROCESOS AUDIOVISUALES QUE FACILITEN LA VISIBILIZACIÓN DE LA OFERTA INSTITUCIONAL DEL INSTITUTO MUNICIPAL DE EMPLEO Y FOMENTO EMPRESARIAL DE BUCARAMANGA IMEBU.</t>
  </si>
  <si>
    <t>023-2023</t>
  </si>
  <si>
    <t>CERON ARDILA SERGIO ALEXANDER</t>
  </si>
  <si>
    <t>https://community.secop.gov.co/Public/Tendering/OpportunityDetail/Index?noticeUID=CO1.NTC.3799885&amp;isFromPublicArea=True&amp;isModal=False</t>
  </si>
  <si>
    <t>PRESTAR SERVICIOS PROFESIONALES DE CARÁCTER TEMPORAL PARA APOYAR LAS DISTINTAS DEPENDENCIAS DE LA ENTIDAD, A TRAVÉS DE LAS GESTIONES QUE SE ADELANTAN DESDE EL ÁREA DE SISTEMAS DEL INSTITUTO MUNICIPAL DE EMPLEO Y FOMENTO EMPRESARIAL DEL MUNICIPIO DE BUCARAMANGA - IMEBU.</t>
  </si>
  <si>
    <t>013-2023</t>
  </si>
  <si>
    <t>CHAPARRO AZA MONICA</t>
  </si>
  <si>
    <t>https://community.secop.gov.co/Public/Tendering/OpportunityDetail/Index?noticeUID=CO1.NTC.3748320&amp;isFromPublicArea=True&amp;isModal=False</t>
  </si>
  <si>
    <t>PRESTAR LOS SERVICIOS PROFESIONALES DE CARÁCTER TEMPORAL PARA APOYAR LA PLANEACIÓN, EJECUCIÓN Y SEGUIMIENTO DE PLANES, PROGRAMAS Y PROYECTOS ESTRATÉGICOS DE LA ENTIDAD QUE PUEDAN GENERAR UN IMPACTO ECONOMICO POSITIVO EN LA CIUDAD</t>
  </si>
  <si>
    <t>009-2023</t>
  </si>
  <si>
    <t>CORONADO NIÑO DAVID FELIPE</t>
  </si>
  <si>
    <t>https://community.secop.gov.co/Public/Tendering/OpportunityDetail/Index?noticeUID=CO1.NTC.3739125&amp;isFromPublicArea=True&amp;isModal=False</t>
  </si>
  <si>
    <t>PRESTAR SERVICIOS PROFESIONALES DE CARÁCTER TEMPORAL A LA SUBDIRECCIÓN ADMINISTRATIVA Y FINANCIERA PARA APOYAR LA GESTIÓN DE IMPLEMENTACIÓN Y SEGUIMIENTO DEL MODELO INTEGRADO DE PLANEACIÓN Y GESTIÓN MIPG EN EL INSTITUTO MUNICIPAL DE EMPLEO Y FOMENTO EMPRESARIAL DEL MUNICIPIO DE BUCARAMANGA IMEBU.</t>
  </si>
  <si>
    <t>012-2023</t>
  </si>
  <si>
    <t>DELGADO GONZALEZ MEBY</t>
  </si>
  <si>
    <t>https://community.secop.gov.co/Public/Tendering/OpportunityDetail/Index?noticeUID=CO1.NTC.3747812&amp;isFromPublicArea=True&amp;isModal=False</t>
  </si>
  <si>
    <t>PRESTAR LOS SERVICIOS PROFESIONALES DE CARÁCTER TEMPORAL PARA APOYAR LAS GESTIONES ADMINISTRATIVAS EN LA SUBDIRECCIÓN TÉCNICA, ACORDE CON LOS PROCEDIMIENTOS INTERNOS IMPLEMENTADOS POR LA ENTIDAD.</t>
  </si>
  <si>
    <t>010-2023</t>
  </si>
  <si>
    <t>FLOREZ BASTILLA CLAUDIA MILAY</t>
  </si>
  <si>
    <t>https://community.secop.gov.co/Public/Tendering/OpportunityDetail/Index?noticeUID=CO1.NTC.3739956&amp;isFromPublicArea=True&amp;isModal=False</t>
  </si>
  <si>
    <t xml:space="preserve">PRESTAR LOS SERVICIOS PROFESIONALES DE CARÁCTER TEMPORAL, PARA APOYAR LA COORDINACIÓN, ORIENTACIÓN Y SEGUIMIENTO DE LAS CAMPAÑAS DE COMUNICACIÓN, PARA EL DESARROLLO DE CONTENIDO, PRODUCTO AUDIOVISUAL Y EDITORIAL EN EL INSTITUTO MUNICIPAL DE EMPLEO Y FOMENTO EMPRESARIAL DE BUCARAMANGA -IMEBU. </t>
  </si>
  <si>
    <t>064-2023</t>
  </si>
  <si>
    <t>GALLARDO TELLEZ DIEGO FERNANDO</t>
  </si>
  <si>
    <t>https://community.secop.gov.co/Public/Tendering/OpportunityDetail/Index?noticeUID=CO1.NTC.3903446&amp;isFromPublicArea=True&amp;isModal=False</t>
  </si>
  <si>
    <t>PRESTAR SERVICIOS PROFESIONALES DE CARÁCTER TEMPORAL PARA APOYAR A LA OFICINA DE CONTROL INTERNO DEL INSTITUTO MUNICIPAL DE EMPLEO Y FOMENTO EMPRESARIAL DE BUCARAMANGA IMEBU EN LOS PROCESOS DE AUDITORÍA, EVALUACIÓN Y SEGUIMIENTO A LOS PLANES INSTITUCIONALES DE LA ENTIDAD.</t>
  </si>
  <si>
    <t>025-2023</t>
  </si>
  <si>
    <t>GOMEZ SEPULVEDA ANGIE PAOLA</t>
  </si>
  <si>
    <t>https://community.secop.gov.co/Public/Tendering/OpportunityDetail/Index?noticeUID=CO1.NTC.3799911&amp;isFromPublicArea=True&amp;isModal=False</t>
  </si>
  <si>
    <t>PRESTAR SERVICIOS PROFESIONALES DE CARÁCTER TEMPORAL A LA SUBDIRECCIÓN TÉCNICA PARA BRINDAR APOYO EN LA INCENTIVACIÓN DEL EMPRENDIMIENTO Y FORTALECIMIENTO DE EMPRESAS, MICROEMPRESAS Y UNIDADES PRODUCTIVAS, PARA EL ACCESO A CRÉDITOS A TRAVÉS DE LAS ALIANZAS DE LAS QUE FORMA PARTE EL INSTITUTO MUNICIPAL DE EMPLEO Y FOMENTO EMPRESARIAL DE BUCARAMANGA - IMEBU.</t>
  </si>
  <si>
    <t>020-2023</t>
  </si>
  <si>
    <t>GUTIERREZ FLOREZ YOHANA ANDREA</t>
  </si>
  <si>
    <t>https://community.secop.gov.co/Public/Tendering/OpportunityDetail/Index?noticeUID=CO1.NTC.3791324&amp;isFromPublicArea=True&amp;isModal=False</t>
  </si>
  <si>
    <t>PRESTAR LOS SERVICIOS DE APOYO A LA GESTIÓN DE CARÁCTER TEMPORAL PARA APOYAR EL ANALISIS ESTADÍSTICO DE ACUERDO A LA RECOPILACIÓN Y CLASIFICACIÓN DE DATOS DEL OBSERVATORIO ECONOMICO DEL IMEBU, CON EL FIN DE FUNDAMENTAR LA TOMA DE DECISIONES DE LA ADMINISTRACIÓN</t>
  </si>
  <si>
    <t>022-2023</t>
  </si>
  <si>
    <t>JAIMES CALDERON EDWAR FERNEY</t>
  </si>
  <si>
    <t>https://community.secop.gov.co/Public/Tendering/OpportunityDetail/Index?noticeUID=CO1.NTC.3791938&amp;isFromPublicArea=True&amp;isModal=False</t>
  </si>
  <si>
    <t>PRESTAR SERVICIOS PROFESIONALES DE CARÁCTER TEMPORAL PARA APOYAR LOS PROCESOS DE PROMOCIÓN Y DIVULGACIÓN DE LA OFERTA Y GESTIÓN INSTITUCIONAL, ASÍ COMO LA IMPLEMENTACIÓN DE MECANISMOS QUE FACILITEN LA COMUNICACIÓN INTERNA Y EXTERNA DE LA ENTIDAD.</t>
  </si>
  <si>
    <t>024-2023</t>
  </si>
  <si>
    <t>MOLINA VASQUEZ LAURA NATALIA</t>
  </si>
  <si>
    <t>PRESTAR SERVICIOS PROFESIONALES DE CARÁCTER TEMPORAL PARA APOYAR LOS PROCESOS DE DISEÑO Y ELABORACIÓN DE MATERIAL GRÁFICO, QUE PERMITA LA VISIBILIZACIÓN Y POSICIONAMIENTO DE LOS PROGRAMAS, SERVICIOS Y PROCESOS QUE OFRECE EL INSTITUTO MUNICIPAL DE EMPLEO Y FOMENTO EMPRESARIAL DE BUCARAMANGA IMEBU.</t>
  </si>
  <si>
    <t>016-2023</t>
  </si>
  <si>
    <t>NIETO ARROYAVE SANDRA JANETH</t>
  </si>
  <si>
    <t>https://community.secop.gov.co/Public/Tendering/OpportunityDetail/Index?noticeUID=CO1.NTC.3780368&amp;isFromPublicArea=True&amp;isModal=False</t>
  </si>
  <si>
    <t>PRESTAR LOS SERVICIOS PROFESIONALES DE CARÁCTER TEMPORAL PARA APOYAR EL SOSTENIMIENTO, MONITOREO Y MEJORAMIENTO DEL SISTEMA INTEGRADO DE GESTIÓN DE CALIDAD - SIGC DEL IMEBU, DE ACUERDO A LAS POLITICAS VIGENTES.</t>
  </si>
  <si>
    <t>058-2023</t>
  </si>
  <si>
    <t>ORTIZ VALBUENA JAVIER ANDRE</t>
  </si>
  <si>
    <t>https://community.secop.gov.co/Public/Tendering/OpportunityDetail/Index?noticeUID=CO1.NTC.3890617&amp;isFromPublicArea=True&amp;isModal=False</t>
  </si>
  <si>
    <t>PRESTAR LOS SERVICIOS PROFESIONALES DE CARÁCTER TEMPORAL PARA APOYAR LA IMPLEMENTACIÓN, SOSTENIMIENTO, SEGUIMIENTO, EVALUACIÓN Y MEJORAMIENTO A LOS PROCESOS DE PLANEACIÓN QUE HACEN PARTE DE LA ENTIDAD.</t>
  </si>
  <si>
    <t>037-2023</t>
  </si>
  <si>
    <t>PINTO MANTILLA LEIDY JOHANNA</t>
  </si>
  <si>
    <t>https://community.secop.gov.co/Public/Tendering/OpportunityDetail/Index?noticeUID=CO1.NTC.3826016&amp;isFromPublicArea=True&amp;isModal=False</t>
  </si>
  <si>
    <t>PRESTAR SERVICIOS PROFESIONALES DE CARÁCTER TEMPORAL A LA SUBDIRECCIÓN ADMINISTRATIVA Y FINANCIERA PARA APOYAR LA ACTUALIZACIÓN, SEGUIMIENTO E IMPLEMENTACIÓN DE LOS INSTRUMENTOS ARCHIVÍSTICOS, ASÍ COMO LOS PLANES, PROGRAMAS Y PROCEDIMIENTOS DE GESTIÓN DOCUMENTAL EN EL MARCO DE LA POLÍTICA DE ARCHIVO DEL INSTITUTO MUNICIPAL DE EMPLEO Y FOMENTO EMPRESARIAL DE BUCARAMANGA - IMEBU.</t>
  </si>
  <si>
    <t>015-2023</t>
  </si>
  <si>
    <t>RODRIGUEZ BLANCO NELSY</t>
  </si>
  <si>
    <t>https://community.secop.gov.co/Public/Tendering/OpportunityDetail/Index?noticeUID=CO1.NTC.3770702&amp;isFromPublicArea=True&amp;isModal=False</t>
  </si>
  <si>
    <t>PRESTAR LOS SERVICIOS PROFESIONALES DE CARÁCTER TEMPORAL, PARA APOYAR A LA SUBDIRECCIÓN TÉCNICA EN LA PROYECCIÓN DE ANÁLISIS DEL SECTOR, ANÁLISIS DE RIESGOS Y ESTUDIOS DEL MERCADO REQUERIDOS POR EL INSTITUTO MUNICIPAL DE EMPLEO Y FOMENTO EMPRESARIAL DE BUCARAMANGA, PARA LA ADQUISICIÓN DE BIENES Y SERVICIOS.</t>
  </si>
  <si>
    <t>066-2023</t>
  </si>
  <si>
    <t>RODRIGUEZ BUILES LUZ AMPARO</t>
  </si>
  <si>
    <t>https://community.secop.gov.co/Public/Tendering/OpportunityDetail/Index?noticeUID=CO1.NTC.3937628&amp;isFromPublicArea=True&amp;isModal=False</t>
  </si>
  <si>
    <t>PRESTAR LOS SERVICIOS PROFESIONALES DE CARÁCTER TEMPORAL PARA APOYAR LOS PROCESOS ADMINISTRATIVOS, DE ORIENTACION Y ESTRATEGIAS DE ATENCION PARA EL EMPLEO Y EMPRENDIMIENTO EN EL MARCO DE LOS SERVICIOS MISIONALES QUE SE BRINDAN EN EL IMEBU.</t>
  </si>
  <si>
    <t>008-2023</t>
  </si>
  <si>
    <t>SANCHEZ CASTAÑO KAREN TATIANA</t>
  </si>
  <si>
    <t>https://community.secop.gov.co/Public/Tendering/OpportunityDetail/Index?noticeUID=CO1.NTC.3737730&amp;isFromPublicArea=True&amp;isModal=False</t>
  </si>
  <si>
    <t>PRESTACION DE SERVICIOS PARA EL DESARROLLO DE UN PLAN DE MEDIOS QUE PERMITA LA DIFUSION DE LA OFERTA INSTITUCIONAL, EN EL MARCO DEL FORO DENOMINADO "BUCARAMANGA, MILAGRO ECONOMICO DE COLOMBIA" CON EL FIN DE LOGRAR UNA COMUNICACION EFICAZ, EXPEDITA Y TRANSPARENTE ENTRE LOS BUMANGUESES Y EL INSTITUTO MUNICIPAL DE EMPLEO Y FOMENTO EMPRESARIAL DEL MUNICIPIO DE BUCARAMANGA - IMEBU.</t>
  </si>
  <si>
    <t>CMC</t>
  </si>
  <si>
    <t>TP EVENTOS Y TECNOLOGIAS S.A.S.</t>
  </si>
  <si>
    <t>PRESTAR LOS SERVICIOS PROFESIONALES DE CARÁCTER TEMPORAL PARA APOYAR EL OBSERVATORIO ECONOMICO DEL IMEBU EN LA GESTIÓN, PROCESAMIENTO Y TRATAMIENTO DE DATOS INTERNOS Y EXTERNOS GENERADOS POR LA ENTIDAD .</t>
  </si>
  <si>
    <t>011-2023</t>
  </si>
  <si>
    <t>URIZA ESTUPIÑAN MARYI YURANY</t>
  </si>
  <si>
    <t>https://community.secop.gov.co/Public/Tendering/OpportunityDetail/Index?noticeUID=CO1.NTC.3747362&amp;isFromPublicArea=True&amp;isModal=False</t>
  </si>
  <si>
    <t>PRESTAR LOS SERVICIOS PROFESIONALES DE CARÁCTER TEMPORAL COMO ABOGADO, PARA APOYAR Y GESTIONAR JURIDICAMENTE LOS DIFERENTES PROCESOS CONTRACTUALES QUE ADELANTE LA SUBDIRECCIÓN TÉCNICA EN SUS ETAPAS PRECONTRACTUAL, CONTRACTUAL Y POST CONTRACTUAL.</t>
  </si>
  <si>
    <t>014-2023</t>
  </si>
  <si>
    <t>VILLAMIZAR SUAREZ YURLEY PATRICIA</t>
  </si>
  <si>
    <t>https://community.secop.gov.co/Public/Tendering/OpportunityDetail/Index?noticeUID=CO1.NTC.3752972&amp;isFromPublicArea=True&amp;isModal=False</t>
  </si>
  <si>
    <t>PRESTACION DE SERVICIOS PROFESIONALES COMO ABOGADO PARA ACOMPAÑAMIENTO. ORIENTACIÓN Y APOYO EN LAS ÁREAS DE DERECHO PUBLICO Y DE DERECHO LABORAL ADMINISTRATIVO EN LA PROYECCIÓN Y REVISIÓN DE LOS DIFERENTES DOCUMENTOS Y ACTOS ADMINISTRATIVOS QUE REQUIERA LA OFICINA ASESORA JURIDICA DEL INSTITUTO MUNICIPAL DE EMPLEO Y FOMENTO EMPRESARIAL DE BUCARAMANGA- IMEBU</t>
  </si>
  <si>
    <t>060-2023</t>
  </si>
  <si>
    <t>YASSIN MORA NAYUA SABAH</t>
  </si>
  <si>
    <t>https://community.secop.gov.co/Public/Tendering/OpportunityDetail/Index?noticeUID=CO1.NTC.3892090&amp;isFromPublicArea=True&amp;isModal=False</t>
  </si>
  <si>
    <t>ADC-060-2023</t>
  </si>
  <si>
    <t>Etiquetas de fila</t>
  </si>
  <si>
    <t>Suma de Total apropiado</t>
  </si>
  <si>
    <t>META</t>
  </si>
  <si>
    <t>CDE</t>
  </si>
  <si>
    <t>Total general</t>
  </si>
  <si>
    <t>Meta</t>
  </si>
  <si>
    <t>Proyecto</t>
  </si>
  <si>
    <t>Contrato</t>
  </si>
  <si>
    <t>Cooperante</t>
  </si>
  <si>
    <t>Aporte Dinero IMEBU</t>
  </si>
  <si>
    <t>Aporte Especie IMEBU</t>
  </si>
  <si>
    <t>Aporte Cooperante</t>
  </si>
  <si>
    <t>Total Convenio</t>
  </si>
  <si>
    <t>Convenio CCT 002 - 2023</t>
  </si>
  <si>
    <t>Camara de comercio</t>
  </si>
  <si>
    <t>Acuerdo de cooperación</t>
  </si>
  <si>
    <t>Eiwos Colombia</t>
  </si>
  <si>
    <t>Convenio CA 002 - 2023</t>
  </si>
  <si>
    <t>Convenio CA 002 - 2022</t>
  </si>
  <si>
    <t>Comfenalco</t>
  </si>
  <si>
    <t>EJECUTADO</t>
  </si>
  <si>
    <t>Estrategia</t>
  </si>
  <si>
    <t>Beneficiados</t>
  </si>
  <si>
    <t>Meta real cuatrienio</t>
  </si>
  <si>
    <t>Meta anual</t>
  </si>
  <si>
    <t>Meta mensual</t>
  </si>
  <si>
    <t>Enero</t>
  </si>
  <si>
    <t>Febrero</t>
  </si>
  <si>
    <t>Marzo</t>
  </si>
  <si>
    <t>Abril</t>
  </si>
  <si>
    <t>Mayo</t>
  </si>
  <si>
    <t>Junio</t>
  </si>
  <si>
    <t>Julio</t>
  </si>
  <si>
    <t>Agosto</t>
  </si>
  <si>
    <t>Septiembre</t>
  </si>
  <si>
    <t>Octubre</t>
  </si>
  <si>
    <t>Noviembre</t>
  </si>
  <si>
    <t>Diciembre</t>
  </si>
  <si>
    <t>Meta a Septiembre</t>
  </si>
  <si>
    <t>Cumpl a Ene</t>
  </si>
  <si>
    <t>Rezago a hoy</t>
  </si>
  <si>
    <t>Coworking</t>
  </si>
  <si>
    <t>Consultorio E Marketing</t>
  </si>
  <si>
    <t>Espacios Colaborativos</t>
  </si>
  <si>
    <t>Cemprende - SEED LAB</t>
  </si>
  <si>
    <t>Cemprende - HerramientaSTEC</t>
  </si>
  <si>
    <t>Avanza BGA</t>
  </si>
  <si>
    <t>Crea BGA</t>
  </si>
  <si>
    <t>Formación a la medida</t>
  </si>
  <si>
    <t>Planes de mejoramiento diseñados</t>
  </si>
  <si>
    <t>Modelos de negocio</t>
  </si>
  <si>
    <t>Talleres CDE</t>
  </si>
  <si>
    <t>Talleres vitrinismo Beatriz</t>
  </si>
  <si>
    <t>Taller en e-comerce y uso de plataforma Market Place</t>
  </si>
  <si>
    <t>Talleres Somos Locales</t>
  </si>
  <si>
    <t>Planes de mejoramiento implementados</t>
  </si>
  <si>
    <t>CDE Virtual</t>
  </si>
  <si>
    <t>Market Place (productos cargados en plataforma)</t>
  </si>
  <si>
    <t>-</t>
  </si>
  <si>
    <t xml:space="preserve"> </t>
  </si>
  <si>
    <t>Banca</t>
  </si>
  <si>
    <t>Creditos tecnologia e innovación</t>
  </si>
  <si>
    <t>Creditos diferente a tecnologia e innovación</t>
  </si>
  <si>
    <t>Empleo</t>
  </si>
  <si>
    <t>Registrados</t>
  </si>
  <si>
    <t>Talleres empleo</t>
  </si>
  <si>
    <t>Empresas acompañadas</t>
  </si>
  <si>
    <t>INSTITUTO MUNICIPAL DE EMPLEO Y FOMENTO EMPRESARIAL - IMEBU</t>
  </si>
  <si>
    <t>NIT: 00804014968 - 1</t>
  </si>
  <si>
    <t>EJECUCION PRESUPUESTAL DE GASTOS</t>
  </si>
  <si>
    <t>Periodo comprendido entre 01-01-2022 y 31-12-2022</t>
  </si>
  <si>
    <t>Fecha de Impresión: 31.01.2023 Hora: 10:32:am</t>
  </si>
  <si>
    <t>Impreso por: MVRR - MARIA VICTORIA RAMIREZ RANGEL</t>
  </si>
  <si>
    <t>Codigo de Control</t>
  </si>
  <si>
    <t>Rubro Presupuestal</t>
  </si>
  <si>
    <t>Unidad Ejecutora</t>
  </si>
  <si>
    <t>Descripción</t>
  </si>
  <si>
    <t>Fuente</t>
  </si>
  <si>
    <t>Presupuesto Inicial</t>
  </si>
  <si>
    <t>Adiciones</t>
  </si>
  <si>
    <t>Aplazamientos</t>
  </si>
  <si>
    <t>Desaplazamiento</t>
  </si>
  <si>
    <t>Reducciones</t>
  </si>
  <si>
    <t>Créditos</t>
  </si>
  <si>
    <t>Contracréditos</t>
  </si>
  <si>
    <t>Presupuesto Definitivo</t>
  </si>
  <si>
    <t>Cdps Mes Anterior</t>
  </si>
  <si>
    <t>Cdps Mes Actual</t>
  </si>
  <si>
    <t>Total Ejecutado Segun Cdps</t>
  </si>
  <si>
    <t>Cdps Vigencia Futura</t>
  </si>
  <si>
    <t>Saldo por Ejecutar</t>
  </si>
  <si>
    <t>Compromisos Mes Anterior</t>
  </si>
  <si>
    <t>Total Compromisos mes Actual</t>
  </si>
  <si>
    <t>Total Compromisos</t>
  </si>
  <si>
    <t>Saldo por Comprometer</t>
  </si>
  <si>
    <t>Total Obligaciones</t>
  </si>
  <si>
    <t>Pagos Mes Anterior</t>
  </si>
  <si>
    <t>Total Pagos Periodo</t>
  </si>
  <si>
    <t>Total Pagos</t>
  </si>
  <si>
    <t>Saldo por Pagar</t>
  </si>
  <si>
    <t>  </t>
  </si>
  <si>
    <t>2 </t>
  </si>
  <si>
    <t>IMEB </t>
  </si>
  <si>
    <t>Gastos </t>
  </si>
  <si>
    <t>2.1 </t>
  </si>
  <si>
    <t>Funcionamiento </t>
  </si>
  <si>
    <t>2.1.1 </t>
  </si>
  <si>
    <t>Gastos de personal </t>
  </si>
  <si>
    <t>2.1.1.01 </t>
  </si>
  <si>
    <t>Planta de personal permanente </t>
  </si>
  <si>
    <t>2.1.1.01.01 </t>
  </si>
  <si>
    <t>Factores constitutivos de salario </t>
  </si>
  <si>
    <t>2.1.1.01.01.001 </t>
  </si>
  <si>
    <t>Factores salariales comunes </t>
  </si>
  <si>
    <t>220001 </t>
  </si>
  <si>
    <t>2.1.1.01.01.001.01 </t>
  </si>
  <si>
    <t>Sueldo básico </t>
  </si>
  <si>
    <t>1.2.1.0.0 </t>
  </si>
  <si>
    <t>220002 </t>
  </si>
  <si>
    <t>2.1.1.01.01.001.06 </t>
  </si>
  <si>
    <t>Prima de servicios </t>
  </si>
  <si>
    <t>220003 </t>
  </si>
  <si>
    <t>2.1.1.01.01.001.07 </t>
  </si>
  <si>
    <t>Bonificación por servicios prestados </t>
  </si>
  <si>
    <t>2.1.1.01.01.001.08 </t>
  </si>
  <si>
    <t>Prestaciones sociales </t>
  </si>
  <si>
    <t>220004 </t>
  </si>
  <si>
    <t>2.1.1.01.01.001.08.01 </t>
  </si>
  <si>
    <t>Prima de navidad </t>
  </si>
  <si>
    <t>220077 </t>
  </si>
  <si>
    <t>2.1.2.02.02.010 </t>
  </si>
  <si>
    <t>Viáticos de funcionarios en Comisión </t>
  </si>
  <si>
    <t>APM </t>
  </si>
  <si>
    <t>220005 </t>
  </si>
  <si>
    <t>2.1.1.01.01.001.08.02 </t>
  </si>
  <si>
    <t>Prima de vacaciones </t>
  </si>
  <si>
    <t>220006 </t>
  </si>
  <si>
    <t>2.1.1.01.01.002 </t>
  </si>
  <si>
    <t>Factores salariales especiales </t>
  </si>
  <si>
    <t>2.1.1.01.02 </t>
  </si>
  <si>
    <t>Contribuciones inherentes a la nómina </t>
  </si>
  <si>
    <t>220007 </t>
  </si>
  <si>
    <t>2.1.1.01.02.001 </t>
  </si>
  <si>
    <t>Aportes a la seguridad social en pensiones </t>
  </si>
  <si>
    <t>220008 </t>
  </si>
  <si>
    <t>2.1.1.01.02.002 </t>
  </si>
  <si>
    <t>Aportes a la seguridad social en salud </t>
  </si>
  <si>
    <t>220009 </t>
  </si>
  <si>
    <t>2.1.1.01.02.003 </t>
  </si>
  <si>
    <t>Aportes de cesantías </t>
  </si>
  <si>
    <t>220010 </t>
  </si>
  <si>
    <t>2.1.1.01.02.004 </t>
  </si>
  <si>
    <t>Aportes a cajas de compensación familiar </t>
  </si>
  <si>
    <t>220011 </t>
  </si>
  <si>
    <t>2.1.1.01.02.005 </t>
  </si>
  <si>
    <t>Aportes generales al sistema de riesgos laborales </t>
  </si>
  <si>
    <t>220012 </t>
  </si>
  <si>
    <t>2.1.1.01.02.006 </t>
  </si>
  <si>
    <t>Aportes al ICBF </t>
  </si>
  <si>
    <t>220013 </t>
  </si>
  <si>
    <t>2.1.1.01.02.007 </t>
  </si>
  <si>
    <t>Aportes al SENA </t>
  </si>
  <si>
    <t>2.1.1.01.03 </t>
  </si>
  <si>
    <t>Remuneraciones no constitutivas de factor salarial </t>
  </si>
  <si>
    <t>2.1.1.01.03.001 </t>
  </si>
  <si>
    <t>220014 </t>
  </si>
  <si>
    <t>2.1.1.01.03.001.01 </t>
  </si>
  <si>
    <t>Vacaciones </t>
  </si>
  <si>
    <t>220015 </t>
  </si>
  <si>
    <t>2.1.1.01.03.001.02 </t>
  </si>
  <si>
    <t>Indemnización por vacaciones </t>
  </si>
  <si>
    <t>1.3.2.3.05 </t>
  </si>
  <si>
    <t>220016 </t>
  </si>
  <si>
    <t>2.1.1.01.03.001.03 </t>
  </si>
  <si>
    <t>Bonificacion especial de recreación </t>
  </si>
  <si>
    <t>2.1.2 </t>
  </si>
  <si>
    <t>Adquisición de bienes y servicios </t>
  </si>
  <si>
    <t>2.1.2.02 </t>
  </si>
  <si>
    <t>Adquisiciones diferentes de activos </t>
  </si>
  <si>
    <t>2.1.2.02.01 </t>
  </si>
  <si>
    <t>Materiales y suministros </t>
  </si>
  <si>
    <t>220017 </t>
  </si>
  <si>
    <t>2.1.2.02.01.002 </t>
  </si>
  <si>
    <t>Productos alimenticios, bebidas y tabaco; textiles, prendas de vestir y productos de cuero </t>
  </si>
  <si>
    <t>220018 </t>
  </si>
  <si>
    <t>2.1.2.02.01.003 </t>
  </si>
  <si>
    <t>Otros bienes transportables (excepto productos metálicos, maquinaria y equipo) </t>
  </si>
  <si>
    <t>220019 </t>
  </si>
  <si>
    <t>2.1.2.02.01.004 </t>
  </si>
  <si>
    <t>Productos metalicos y paquetes de software </t>
  </si>
  <si>
    <t>2.1.2.02.02 </t>
  </si>
  <si>
    <t>Adquisición de servicios </t>
  </si>
  <si>
    <t>220020 </t>
  </si>
  <si>
    <t>2.1.2.02.02.006 </t>
  </si>
  <si>
    <t>Servicios de alojamiento; servicios de suministro de comidas y bebidas; servicios de transporte; y servicios de distribución de electricidad, gas y agua </t>
  </si>
  <si>
    <t>220021 </t>
  </si>
  <si>
    <t>2.1.2.02.02.007 </t>
  </si>
  <si>
    <t>Servicios financieros y servicios conexos, servicios inmobiliarios y servicios de leasing </t>
  </si>
  <si>
    <t>220022 </t>
  </si>
  <si>
    <t>2.1.2.02.02.008 </t>
  </si>
  <si>
    <t>Servicios prestados a las empresas y servicios de producción </t>
  </si>
  <si>
    <t>220023 </t>
  </si>
  <si>
    <t>2.1.2.02.02.009 </t>
  </si>
  <si>
    <t>Servicios para la comunidad, sociales y personales </t>
  </si>
  <si>
    <t>2.1.3 </t>
  </si>
  <si>
    <t>Transferencias corrientes </t>
  </si>
  <si>
    <t>2.1.3.13 </t>
  </si>
  <si>
    <t>Sentencias y Conciliaciones </t>
  </si>
  <si>
    <t>2.1.3.13.01 </t>
  </si>
  <si>
    <t>Fallos nacionales </t>
  </si>
  <si>
    <t>220024 </t>
  </si>
  <si>
    <t>2.1.3.13.01.001 </t>
  </si>
  <si>
    <t>Sentencias </t>
  </si>
  <si>
    <t>220025 </t>
  </si>
  <si>
    <t>2.1.8 </t>
  </si>
  <si>
    <t>Gastos por tributos, multas, sanciones e intereses de mora </t>
  </si>
  <si>
    <t>2.1.8.04 </t>
  </si>
  <si>
    <t>Contribuciones </t>
  </si>
  <si>
    <t>220026 </t>
  </si>
  <si>
    <t>2.1.8.04.01 </t>
  </si>
  <si>
    <t>Cuota de fiscalización y auditaje </t>
  </si>
  <si>
    <t>2.3 </t>
  </si>
  <si>
    <t>Inversión </t>
  </si>
  <si>
    <t>2.3.2 </t>
  </si>
  <si>
    <t>Adquisicion de bienes y servicios </t>
  </si>
  <si>
    <t>2.3.2.02 </t>
  </si>
  <si>
    <t>Adquisición diferentes de Activos. </t>
  </si>
  <si>
    <t>2.3.2.02.01 </t>
  </si>
  <si>
    <t>Materiales y Suministros </t>
  </si>
  <si>
    <t>220079 </t>
  </si>
  <si>
    <t>2.3.2.02.01.002 </t>
  </si>
  <si>
    <t>Productos alimenticios, bebidas y tabaco; textiles, prendas de vestir y productos de cuero - COWORKING </t>
  </si>
  <si>
    <t>RDB </t>
  </si>
  <si>
    <t>220080 </t>
  </si>
  <si>
    <t>2.3.2.02.01.003 </t>
  </si>
  <si>
    <t>Otros BieneS transportables (excepto productos metálicos, maquinaria y equipo) - CDE </t>
  </si>
  <si>
    <t>2.3.2.02.02 </t>
  </si>
  <si>
    <t>2.3.2.02.02.006. </t>
  </si>
  <si>
    <t>220027 </t>
  </si>
  <si>
    <t>2.3.2.02.02.006.01 </t>
  </si>
  <si>
    <t>Servicios de alojamiento; servicios de suministro de comidas y bebidas; servicios de transporte; y servicios de distribución de electricidad, gas y agua-CDE </t>
  </si>
  <si>
    <t>220083 </t>
  </si>
  <si>
    <t>2.3.2.02.02.006.02 </t>
  </si>
  <si>
    <t>Servicios de alojamiento; servicios de suministro de comidas y bebidas; servicios de transporte; y servicios de distribución de electricidad, gas y agua - PROGRESA </t>
  </si>
  <si>
    <t>2.3.2.02.02.007. </t>
  </si>
  <si>
    <t>220028 </t>
  </si>
  <si>
    <t>2.3.2.02.02.007.01 </t>
  </si>
  <si>
    <t>Servicios financieros y servicios conexos, servicios inmobiliarios y servicios de leasing-COWORKING </t>
  </si>
  <si>
    <t>220029 </t>
  </si>
  <si>
    <t>2.3.2.02.02.007.02 </t>
  </si>
  <si>
    <t>Servicios financieros y servicios conexos, servicios inmobiliarios y servicios de leasing-CDE </t>
  </si>
  <si>
    <t>220082 </t>
  </si>
  <si>
    <t>2.3.2.02.02.007.03 </t>
  </si>
  <si>
    <t>Servicios financieros y servicios conexos, servicios inmobiliarios y servicios de leasing - PROGRESA </t>
  </si>
  <si>
    <t>2.3.2.02.02.008. </t>
  </si>
  <si>
    <t>Servicios restados a las empresas y servicios de producción </t>
  </si>
  <si>
    <t>220084 </t>
  </si>
  <si>
    <t>2.3.2.02.02.008.01 </t>
  </si>
  <si>
    <t>Ss. prestados a las empr. y ss. de Prod. - BGA PROGRESA </t>
  </si>
  <si>
    <t>2.3.2.02.02.009 </t>
  </si>
  <si>
    <t>220030 </t>
  </si>
  <si>
    <t>2.3.2.02.02.009.01 </t>
  </si>
  <si>
    <t>Servicios para la comunidad, sociales y personales-BANCA </t>
  </si>
  <si>
    <t>220031 </t>
  </si>
  <si>
    <t>2.3.2.02.02.009.02 </t>
  </si>
  <si>
    <t>220032 </t>
  </si>
  <si>
    <t>2.3.2.02.02.009.03 </t>
  </si>
  <si>
    <t>Servicios para la comunidad, sociales y personales- CDE </t>
  </si>
  <si>
    <t>220033 </t>
  </si>
  <si>
    <t>Servicios para la comunidad, sociales y personales -EMPLEO </t>
  </si>
  <si>
    <t>220034 </t>
  </si>
  <si>
    <t>2.3.2.02.02.009.05 </t>
  </si>
  <si>
    <t>Servicios para la comunidad, sociales y personales-COWORKING </t>
  </si>
  <si>
    <t>220035 </t>
  </si>
  <si>
    <t>Servicios para la comunidad, sociales y personales-FORTALECIMIENTO </t>
  </si>
  <si>
    <t>220085 </t>
  </si>
  <si>
    <t>2.3.2.02.02.009.07 </t>
  </si>
  <si>
    <t>Ss. para la comunidad, soc. y pers.- BGA PROGRESA </t>
  </si>
  <si>
    <t>2.3.6 </t>
  </si>
  <si>
    <t>Adquisicion de Activos Financieros </t>
  </si>
  <si>
    <t>2.3.6.01 </t>
  </si>
  <si>
    <t>Concesión de Prestamos </t>
  </si>
  <si>
    <t>2.3.6.01.04 </t>
  </si>
  <si>
    <t>A Personas Naturales </t>
  </si>
  <si>
    <t>2.3.6.01.04.003. </t>
  </si>
  <si>
    <t>Fondo de Prestamos Banca </t>
  </si>
  <si>
    <t>220081 </t>
  </si>
  <si>
    <t>2.3.6.01.04.003.01 </t>
  </si>
  <si>
    <t>220087 </t>
  </si>
  <si>
    <t>2.3.6.01.04.003.02 </t>
  </si>
  <si>
    <t>Fondo Prestamos Banca - BGA PROGRESA </t>
  </si>
  <si>
    <t>BANCA</t>
  </si>
  <si>
    <t>COWORKING</t>
  </si>
  <si>
    <t>EMPLEO</t>
  </si>
  <si>
    <t>FORTALECIMIENTO</t>
  </si>
  <si>
    <t>Periodo comprendido entre 01-01-2023 y 28-02-2023</t>
  </si>
  <si>
    <t>Fecha de Impresión: 01.03.2023 Hora: 11:48:am</t>
  </si>
  <si>
    <t>Impreso por: GUSTAVO - GUSTAVO RAMIREZ BONELLS</t>
  </si>
  <si>
    <t>230001 </t>
  </si>
  <si>
    <t>230002 </t>
  </si>
  <si>
    <t>230003 </t>
  </si>
  <si>
    <t>230004 </t>
  </si>
  <si>
    <t>230005 </t>
  </si>
  <si>
    <t>230007 </t>
  </si>
  <si>
    <t>230008 </t>
  </si>
  <si>
    <t>230009 </t>
  </si>
  <si>
    <t>230010 </t>
  </si>
  <si>
    <t>230011 </t>
  </si>
  <si>
    <t>230012 </t>
  </si>
  <si>
    <t>230013 </t>
  </si>
  <si>
    <t>230014 </t>
  </si>
  <si>
    <t>230015 </t>
  </si>
  <si>
    <t>230016 </t>
  </si>
  <si>
    <t>2.1.2.01 </t>
  </si>
  <si>
    <t>Adquisición de activos no financieros </t>
  </si>
  <si>
    <t>2.1.2.01.01 </t>
  </si>
  <si>
    <t>Activos Fijos </t>
  </si>
  <si>
    <t>2.1.2.01.01.005 </t>
  </si>
  <si>
    <t>Otros Activos Fijos </t>
  </si>
  <si>
    <t>2.1.2.01.01.005.02 </t>
  </si>
  <si>
    <t>Productos de la propiedad intelectual </t>
  </si>
  <si>
    <t>2.1.2.01.01.005.02.03 </t>
  </si>
  <si>
    <t>Programas de informática y bases de datos </t>
  </si>
  <si>
    <t>2.1.2.01.01.005.02.03.01 </t>
  </si>
  <si>
    <t>Programas de informática </t>
  </si>
  <si>
    <t>230017 </t>
  </si>
  <si>
    <t>2.1.2.01.01.005.02.03.01.01 </t>
  </si>
  <si>
    <t>Paquetes de Software </t>
  </si>
  <si>
    <t>230018 </t>
  </si>
  <si>
    <t>230020 </t>
  </si>
  <si>
    <t>2.1.2.02.02.006.01 </t>
  </si>
  <si>
    <t>230019 </t>
  </si>
  <si>
    <t>2.1.2.02.02.006.02 </t>
  </si>
  <si>
    <t>Servicios de alojamiento; servicios de suministro de comidas y bebidas; servicios de transporte; y servicios de distribución de electricidad, gas y agua - SOLERI KENNEDY </t>
  </si>
  <si>
    <t>230021 </t>
  </si>
  <si>
    <t>2.1.2.02.02.007.01 </t>
  </si>
  <si>
    <t>Servicios financieros y servicios conexos, servicios inmobiliarios y servicios de leasing - CEMPRENDE </t>
  </si>
  <si>
    <t>230025 </t>
  </si>
  <si>
    <t>2.1.2.02.02.007.02 </t>
  </si>
  <si>
    <t>230022 </t>
  </si>
  <si>
    <t>230023 </t>
  </si>
  <si>
    <t>2.1.2.02.02.009.01 </t>
  </si>
  <si>
    <t>230038 </t>
  </si>
  <si>
    <t>2.1.2.02.02.009.02 </t>
  </si>
  <si>
    <t>1.3.2.3.11 </t>
  </si>
  <si>
    <t>230077 </t>
  </si>
  <si>
    <t>230024 </t>
  </si>
  <si>
    <t>230026 </t>
  </si>
  <si>
    <t>230027 </t>
  </si>
  <si>
    <t>230029 </t>
  </si>
  <si>
    <t>230030 </t>
  </si>
  <si>
    <t>230031 </t>
  </si>
  <si>
    <t>230032 </t>
  </si>
  <si>
    <t>230033 </t>
  </si>
  <si>
    <t>230034 </t>
  </si>
  <si>
    <t>230035 </t>
  </si>
  <si>
    <t>230028 </t>
  </si>
  <si>
    <t>Periodo comprendido entre 01-01-2023 y 31-01-2023</t>
  </si>
  <si>
    <t>Fecha de Impresión: 06.02.2023 Hora: 02:27:pm</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</si>
  <si>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</si>
  <si>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</si>
  <si>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</si>
  <si>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</si>
  <si>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</si>
  <si>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</si>
  <si>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</si>
  <si>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</si>
  <si>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</si>
  <si>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</si>
  <si>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</si>
  <si>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</si>
  <si>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</si>
  <si>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</si>
  <si>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LOGRO
CUATRIENIO
2022</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</si>
  <si>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</si>
  <si>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</si>
  <si>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</si>
  <si>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</si>
  <si>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</si>
  <si>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</si>
  <si>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</si>
  <si>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</si>
  <si>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</si>
  <si>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</si>
  <si>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</si>
  <si>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</si>
  <si>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</si>
  <si>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</si>
  <si>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</si>
  <si>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</si>
  <si>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</si>
  <si>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</si>
  <si>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</si>
  <si>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Metas de resultado pendiente medir</t>
  </si>
  <si>
    <t>ROJAS FLOREZ ILEANA</t>
  </si>
  <si>
    <t>CARDENAS ROJAS ANA MAYERLY</t>
  </si>
  <si>
    <t>MARTINEZ CORTES VALENTINA</t>
  </si>
  <si>
    <t>LEON VELASCO JAVIER FERNANDO</t>
  </si>
  <si>
    <t>ACEVEDO FERREIRA VIVIANA</t>
  </si>
  <si>
    <t>ARISTIDES HERNANDEZ VALENCIA</t>
  </si>
  <si>
    <t>PARADA RIVERA LORENA ANDREA</t>
  </si>
  <si>
    <t>ALVAREZ LIZCANO KATHERIN LISSETH</t>
  </si>
  <si>
    <t>GALVIS TOLOZA LEIDY MARCELA</t>
  </si>
  <si>
    <t>SIERRA JAIMES YESSENIA</t>
  </si>
  <si>
    <t>HERRERA AMOROCHO LUZ ANGELA</t>
  </si>
  <si>
    <t>DELGADO GALVIS MARTHA LILIANA</t>
  </si>
  <si>
    <t>JAIMES HERRERA AILEN JOHANA</t>
  </si>
  <si>
    <t>HERRERRA AMOROCHO MABEL LUCIA</t>
  </si>
  <si>
    <t> CPS-081</t>
  </si>
  <si>
    <t> CPS-083</t>
  </si>
  <si>
    <t> CPS-084</t>
  </si>
  <si>
    <t> CPS-082</t>
  </si>
  <si>
    <t> CPS-086</t>
  </si>
  <si>
    <t> CPS-087</t>
  </si>
  <si>
    <t> CPS-088</t>
  </si>
  <si>
    <t> CPS-089</t>
  </si>
  <si>
    <t> CPS-090</t>
  </si>
  <si>
    <t> CPS-092-2023</t>
  </si>
  <si>
    <t> CPS-094-2023</t>
  </si>
  <si>
    <t>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CAFÉ MADRID. CPS-081-2023, DURACIÓN SIETE (07) MESES.</t>
  </si>
  <si>
    <t>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CPS-083-2023, DURACIÓN SIETE (07) MESES.</t>
  </si>
  <si>
    <t>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CPS-084-2023, DURACIÓN SIETE (07) MESES.</t>
  </si>
  <si>
    <t>PRESTACIÓN DE SERVICIOS DE APOYO A LA GESTIÓN, PARA COADYUVAR EN LAS ACTIVIDADES OPERATIVAS, LOGÍSTICAS Y ASISTENCIALES REQUERIDAS QUE SE REQUIERAN DENTRO DE LA AGENDA DE EVENTOS COMERCIALES Y LOS ESPACIOS DE DIÁLOGOS ESTABLECIDOS EN LOS GRUPOS DE VALOR Y/O SECTORES PRIORIZADOS EN LAS COMUNAS Y/O CORREGIMIENTOS DE BUCARAMANGA. CPS -081-2023, DURACIÓN SEIS (06) MESES.</t>
  </si>
  <si>
    <t>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CAFE MADRID. CPS-086-2023, DURACIÓN SIETE (07) MESES.</t>
  </si>
  <si>
    <t>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CPS-087-2023, DURACIÓN SIETE (07) MESES.</t>
  </si>
  <si>
    <t>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KENNEDY. CPS-088-2023, DURACIÓN SIETE (07) MESES.</t>
  </si>
  <si>
    <t>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KENNEDY. CPS-089-2023, DURACIÓN SIETE (07) MESES.</t>
  </si>
  <si>
    <t>PRESTAR LOS SERVICIOS PROFESIONALES DE CARÁCTER TEMPORAL PARA CONTRIBUIR EN EL DESARROLLO DE LAS ACTIVIDADES ADMINISTRATIVAS, DE SEGUIMIENTO Y MEDICIÓN DE LA CALIDAD DE LOS SERVICIOS QUE SE PRESTAN A TRAVÉS DE LOS TRES CENTROS DE DESARROLLO EMPRESARIAL DE BUCARAMANGA -CDE. CPS-090-2023, DURACIÓN SIETE (07) MESES.</t>
  </si>
  <si>
    <t>PRESTACIÓN DE SERVICIOS DE APOYO A LA GESTIÓN PARA COADYUVAR EN LA PROMOCIÓN, DIVULGACIÓN Y POSICIONAMIENTO DEL PROGRAMA BANCA CIUDADANA CARGO DE LA SUBDIRECCIÓN TÉCNICA DEL INSTITUTO MUNICIPAL DE EMPLEO Y FOMENTO EMPRESARIAL DE BUCARAMANGA. CPS-091-2023, DURACIÓN SEIS (06) MESES.</t>
  </si>
  <si>
    <t>PRESTAR LOS SERVICIOS DE APOYO ASISTENCIAL Y LOGISTICO EN LA GESTION DE PROYECTOS QUE PERMITAN GENERAR ACCIONES Y ESTRATEGIAS QUE COADYUVEN A LA REACTIVACION Y FORTALECIMIENTO DE NEGOCIOS NUEVOS Y EXISTENTES DE LOS MICRO, PEQUEÑOS Y MEDIANOS EMPRESARIOS Y/O EMPRENDEDORES, CON EL FIN DE PROMOVER E IMPULSAR EL DESARROLLO ECONOMICO DEL MUNICIPIO DE BUCARAMANGA, A TRAVES DEL CENTRO DE DESARROLLO EMPRESARIAL - CAFE MADRID. CPS-092-2023, DURACIÓN SEIS (06) MESES.</t>
  </si>
  <si>
    <t>PRESTAR LOS SERVICIOS PROFESIONALES DE CARACTER TEMPORAL, PARA BRINDAR APOYO Y ACOMPAÑAMIENTO A LOS MODELOS DE NEGOCIOS DE EMPRENDEDORES Y EMPRESARIOS DE LA CIUDAD DE BUCARAMANGA, DE ACUERDO A LA ESTRATEGIA INCUBADORA DE EMPRENDIMIENTOS, EN EL MARCO DEL PROGRAMA MISIONAL COWORKING DEL IMEBU. CPS-093-2023, DURACIÓN SEIS (06) MESES.</t>
  </si>
  <si>
    <t>PRESTAR LOS SERVICIOS PROFESIONALES DE CARACTER TEMPORAL PARA APOYAR LA PROMOCION, DIVULGACION Y GESTION ADMINISTRATIVA DEL SUPERVISOR DE CONVENIOS, EN EL MARCO DEL PROGRAMA BANCA CIUDADANA ADELANTADO POR EL INSTITUTO MUNICIPAL DE EMPLEO Y FOMENTO EMPRESARIAL DEL MUNICIPIO DE BUCARAMANGA -IMEBU. CPS-095-2023, DURACIÓN SIETE (07) MESES.</t>
  </si>
  <si>
    <t>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CHAPINERO. CPS-094-2023, DURACIÓN SEIS (06) MESES.</t>
  </si>
  <si>
    <t>LEAL MUTIS JENNIFER PAOLA</t>
  </si>
  <si>
    <t>CASTILLO MARIN ERIKA LISCETH</t>
  </si>
  <si>
    <t>ASCENCIO PIMIENTO ANGELICA MARIA</t>
  </si>
  <si>
    <t>MEJIA RESTREPO JULIAN ANDRES</t>
  </si>
  <si>
    <t>SANCHEZ MONTOYA DIANA CAROLINA</t>
  </si>
  <si>
    <t>RIATIGA JAIMES ALEXANDER</t>
  </si>
  <si>
    <t>CAMELO GUTIERREZ LIZ SMITH</t>
  </si>
  <si>
    <t>APARICIO DURAN BRAYAN</t>
  </si>
  <si>
    <t>FERREIRA GALVIS DIEGO RAFAEL</t>
  </si>
  <si>
    <t> CPS-096-2023</t>
  </si>
  <si>
    <t> CPS-097-2023</t>
  </si>
  <si>
    <t> CPS-098-2023</t>
  </si>
  <si>
    <t> CPS-100-2023</t>
  </si>
  <si>
    <t> CPS-102</t>
  </si>
  <si>
    <t> CPS-104-2023</t>
  </si>
  <si>
    <t>ARRENDAR EL GRAN SALON, UBICADO EN EL CENTRO DE CONVENCIONES DE NEOMUNDO PARA EL MONTAJE Y DESMONTAJE DEL EVENTO "WIME WELLNESS INTERNACIONAL DE MEDICINA ESTETICA", COMO APOYO A LOS PROCESOS DE REACTIVACOIN ECONOMICA Y DEL EMPLEO ADELANTADOS POR EL IMEBU EN EL MUNICIPIO DE BUCARAMANGA, DE ACUERDO A LAS ESPECIFICACIONES TECNICAS ESTABLECIDAS POR EL INSTITUTO MUNICIPAL DE EMPLEO Y FOMENTO EMPRESARIAL DEL MUNICIPIO DE BUCARAMANGA -IMEBU. CD-004-2023.</t>
  </si>
  <si>
    <t>PRESTACIÓN DE SERVICIOS DE APOYO A LA GESTIÓN PARA CONTRIBUIR EN LA PROMOCIÓN, DIVULGACIÓN Y POSICIONAMIENTO DEL PROGRAMA BANCA CIUDADANA A CARGO DE LA SUBDIRECCIÓN TÉCNICA DEL INSTITUTO MUNICIPAL DE EMPLEO Y FOMENTO EMPRESARIAL DE BUCARAMANGA. CPS-099-2023, DURACIÓN TRES (03) MESES.</t>
  </si>
  <si>
    <t>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KENNEDY. CPS-096-2023, DURACIÓN SEIS (06) MESES.</t>
  </si>
  <si>
    <t>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CAFÉ MADRID. CPS-097-2023, DURACIÓN SIETE (07) MESES.</t>
  </si>
  <si>
    <t>PRESTAR LOS SERVICIOS PROFESIONALES DE CARACTER TEMPORAL PARA COADYUVAR EN LA DIVULGACION, VINCULACION Y PROMOCION ENTRE LOS EMPRENDEDORES Y EMPRESARIOS DE BUCARAMANGA DE LA ESTARTEGIA MARKETPLACE, EN EL MARCO DEL PROYECTO DE FORTALECIMIENTO DEL CENTRO DE DESARROLLO EMPRESARIAL Y DE EMPLEABILIDAD DE BUCARAMANGA -CDE. CPS-098-2023, DURACIÓN SEIS (06) MESES.</t>
  </si>
  <si>
    <t>PRESTAR LOS SERVICIOS DE APOYO A LA GESTIÓN PARA COADYUVAR EN EL DESARROLLO DE EVENTOS, ACTIVIDADES ADMINISTRATIVAS, DE SEGUIMIENTO Y MEDICIÓN DE LA CALIDAD DE LOS SERVICIOS QUE SE PRESTAN A TRAVÉS DE LOS TRES CENTRO DE DESARROLLO EMPRESARIAL DE BUCARAMANGA -CDE. CPS-100-2023. DURACIÓN SEIS (06) MESES.</t>
  </si>
  <si>
    <t>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 LOS CENTROS DE DESARROLLO EMPRESARIAL. CPS-101-2023, DURACIÓN SIETE (07) MESES.</t>
  </si>
  <si>
    <t>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CAFÉ MADRID. CPS-104-2023, DURACIÓN SIETE (07) MESES.</t>
  </si>
  <si>
    <t>PRESTAR LOS SERVICIOS PROFESIONALES DE CARACTER TEMPORAL PARA COADYUVAR A TRAVES DE ACOMPAÑAMIENTOS EN DESARROLLO Y PROGRAMACION WEB A EMPRESARIOS Y/O EMPRENDEDORES DE LA CIUDAD DE BUCARAMANGA, QUE REQUIERAN OPTIMIZAR SUS RECURSOS DIGITALES Y WEB, ACORDE AL PROCESO DE AVCELERACION DEL PROGRAMA COWORKING BAJO LA ESTRATEGIA AVANZA BGA DEL IMEBU. CPS-103-2023, DURACIÓN SIETE (07) MESES.</t>
  </si>
  <si>
    <t>NEOMUNDO</t>
  </si>
  <si>
    <t>004-2023</t>
  </si>
  <si>
    <t>091-2023</t>
  </si>
  <si>
    <t>095-2023</t>
  </si>
  <si>
    <t>099-2023</t>
  </si>
  <si>
    <t>093-2023</t>
  </si>
  <si>
    <t>103-2023</t>
  </si>
  <si>
    <t>101-2023</t>
  </si>
  <si>
    <t>Periodo comprendido entre 01-01-2023 y 31-03-2023</t>
  </si>
  <si>
    <t>Fecha de Impresión: 03.04.2023 Hora: 04:50:pm</t>
  </si>
  <si>
    <t>Impreso por: SILVANA - SILVANA HERNANDEZ ISISDRO</t>
  </si>
  <si>
    <t>TODAVÍA NO SE CUENTA CON CONTRATO</t>
  </si>
  <si>
    <t>ASESORES CDE</t>
  </si>
  <si>
    <t>% AVANCE CUATRIENIO
2023</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</si>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</sst>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2" formatCode="_-&quot;$&quot;\ * #,##0_-;\-&quot;$&quot;\ * #,##0_-;_-&quot;$&quot;\ * &quot;-&quot;_-;_-@_-"/>
    <numFmt numFmtId="44" formatCode="_-&quot;$&quot;\ * #,##0.00_-;\-&quot;$&quot;\ * #,##0.00_-;_-&quot;$&quot;\ * &quot;-&quot;??_-;_-@_-"/>
    <numFmt numFmtId="43" formatCode="_-* #,##0.00_-;\-* #,##0.00_-;_-* &quot;-&quot;??_-;_-@_-"/>
    <numFmt numFmtId="164" formatCode="dd/mm/yyyy;@"/>
    <numFmt numFmtId="165" formatCode="0.0%"/>
    <numFmt numFmtId="166" formatCode="&quot;$&quot;\ #,##0"/>
    <numFmt numFmtId="167" formatCode="_-&quot;$&quot;\ * #,##0_-;\-&quot;$&quot;\ * #,##0_-;_-&quot;$&quot;\ * &quot;-&quot;??_-;_-@_-"/>
    <numFmt numFmtId="168" formatCode="_-&quot;$&quot;* #,##0_-;\-&quot;$&quot;* #,##0_-;_-&quot;$&quot;* &quot;-&quot;_-;_-@_-"/>
    <numFmt numFmtId="169" formatCode="dd\-mm\-yy;@"/>
    <numFmt numFmtId="170" formatCode="_(* #,##0.00_);_(* \(#,##0.00\);_(* &quot;-&quot;??_);_(@_)"/>
    <numFmt numFmtId="171" formatCode="_(* #,##0_);_(* \(#,##0\);_(* &quot;-&quot;??_);_(@_)"/>
  </numFmts>
  <fonts count="29" x14ac:knownFonts="1">
    <font>
      <sz val="11"/>
      <color theme="1"/>
      <name val="Calibri"/>
      <family val="2"/>
      <scheme val="minor"/>
    </font>
    <font>
      <sz val="10"/>
      <name val="Arial"/>
      <family val="2"/>
    </font>
    <font>
      <b/>
      <sz val="11"/>
      <name val="Arial"/>
      <family val="2"/>
    </font>
    <font>
      <sz val="11"/>
      <name val="Arial"/>
      <family val="2"/>
    </font>
    <font>
      <sz val="11"/>
      <color theme="1"/>
      <name val="Arial"/>
      <family val="2"/>
    </font>
    <font>
      <b/>
      <sz val="11"/>
      <color theme="1"/>
      <name val="Arial"/>
      <family val="2"/>
    </font>
    <font>
      <sz val="11"/>
      <color indexed="8"/>
      <name val="Arial"/>
      <family val="2"/>
    </font>
    <font>
      <b/>
      <sz val="11"/>
      <color theme="0"/>
      <name val="Arial"/>
      <family val="2"/>
    </font>
    <font>
      <u/>
      <sz val="11"/>
      <color theme="10"/>
      <name val="Arial"/>
      <family val="2"/>
    </font>
    <font>
      <sz val="11"/>
      <color theme="1"/>
      <name val="Calibri"/>
      <family val="2"/>
      <scheme val="minor"/>
    </font>
    <font>
      <b/>
      <sz val="8"/>
      <color theme="1"/>
      <name val="Arial"/>
      <family val="2"/>
    </font>
    <font>
      <b/>
      <sz val="9"/>
      <color theme="1"/>
      <name val="Arial"/>
      <family val="2"/>
    </font>
    <font>
      <sz val="11"/>
      <color rgb="FFFF714F"/>
      <name val="Arial"/>
      <family val="2"/>
    </font>
    <font>
      <sz val="11"/>
      <color rgb="FF00B050"/>
      <name val="Arial"/>
      <family val="2"/>
    </font>
    <font>
      <sz val="8"/>
      <color theme="1"/>
      <name val="Tahoma"/>
      <family val="2"/>
    </font>
    <font>
      <sz val="8"/>
      <color theme="1"/>
      <name val="Verdana"/>
      <family val="2"/>
    </font>
    <font>
      <b/>
      <sz val="8"/>
      <color theme="1"/>
      <name val="Tahoma"/>
      <family val="2"/>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sz val="20"/>
      <color theme="1"/>
      <name val="Arial"/>
      <family val="2"/>
    </font>
    <font>
      <sz val="22"/>
      <color theme="1"/>
      <name val="Arial"/>
      <family val="2"/>
    </font>
    <font>
      <b/>
      <sz val="14"/>
      <color theme="1"/>
      <name val="Arial"/>
      <family val="2"/>
    </font>
  </fonts>
  <fills count="22">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65"/>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9" tint="0.59999389629810485"/>
        <bgColor indexed="64"/>
      </patternFill>
    </fill>
    <fill>
      <patternFill patternType="solid">
        <fgColor rgb="FFFFFFFF"/>
        <bgColor indexed="64"/>
      </patternFill>
    </fill>
    <fill>
      <patternFill patternType="solid">
        <fgColor rgb="FFD9D9D9"/>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3" tint="0.59999389629810485"/>
        <bgColor indexed="64"/>
      </patternFill>
    </fill>
    <fill>
      <patternFill patternType="solid">
        <fgColor rgb="FFFFFF66"/>
        <bgColor indexed="64"/>
      </patternFill>
    </fill>
  </fills>
  <borders count="3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64"/>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indexed="64"/>
      </bottom>
      <diagonal/>
    </border>
    <border>
      <left style="thin">
        <color auto="1"/>
      </left>
      <right style="thin">
        <color auto="1"/>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indexed="64"/>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s>
  <cellStyleXfs count="20">
    <xf numFmtId="0" fontId="0" fillId="0" borderId="0"/>
    <xf numFmtId="0" fontId="1" fillId="0" borderId="0"/>
    <xf numFmtId="0" fontId="1" fillId="0" borderId="0"/>
    <xf numFmtId="44" fontId="4" fillId="0" borderId="0" applyFont="0" applyFill="0" applyBorder="0" applyAlignment="0" applyProtection="0"/>
    <xf numFmtId="0" fontId="4" fillId="0" borderId="0"/>
    <xf numFmtId="42"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168" fontId="4" fillId="0" borderId="0" applyFont="0" applyFill="0" applyBorder="0" applyAlignment="0" applyProtection="0"/>
    <xf numFmtId="0" fontId="8" fillId="0" borderId="0" applyNumberFormat="0" applyFill="0" applyBorder="0" applyAlignment="0" applyProtection="0"/>
    <xf numFmtId="170" fontId="4"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9" fontId="9" fillId="0" borderId="0" applyFont="0" applyFill="0" applyBorder="0" applyAlignment="0" applyProtection="0"/>
    <xf numFmtId="0" fontId="9" fillId="0" borderId="0"/>
    <xf numFmtId="42" fontId="9" fillId="0" borderId="0" applyFont="0" applyFill="0" applyBorder="0" applyAlignment="0" applyProtection="0"/>
    <xf numFmtId="44" fontId="9" fillId="0" borderId="0" applyFont="0" applyFill="0" applyBorder="0" applyAlignment="0" applyProtection="0"/>
  </cellStyleXfs>
  <cellXfs count="463">
    <xf numFmtId="0" fontId="0" fillId="0" borderId="0" xfId="0"/>
    <xf numFmtId="0" fontId="4" fillId="0" borderId="0" xfId="4"/>
    <xf numFmtId="14" fontId="4" fillId="2" borderId="0" xfId="4" applyNumberFormat="1" applyFill="1" applyAlignment="1">
      <alignment vertical="top"/>
    </xf>
    <xf numFmtId="0" fontId="4" fillId="2" borderId="0" xfId="4" applyFill="1" applyAlignment="1">
      <alignment vertical="top"/>
    </xf>
    <xf numFmtId="0" fontId="4" fillId="2" borderId="0" xfId="4" applyFill="1" applyAlignment="1">
      <alignment horizontal="right" vertical="top"/>
    </xf>
    <xf numFmtId="42" fontId="3" fillId="2" borderId="0" xfId="5" applyFont="1" applyFill="1" applyBorder="1" applyAlignment="1">
      <alignment vertical="top"/>
    </xf>
    <xf numFmtId="0" fontId="4" fillId="2" borderId="0" xfId="4" applyFill="1" applyAlignment="1">
      <alignment horizontal="center" vertical="top"/>
    </xf>
    <xf numFmtId="0" fontId="3" fillId="2" borderId="0" xfId="4" applyFont="1" applyFill="1" applyAlignment="1">
      <alignment vertical="top"/>
    </xf>
    <xf numFmtId="0" fontId="4" fillId="2" borderId="6" xfId="4" applyFill="1" applyBorder="1" applyAlignment="1">
      <alignment vertical="top"/>
    </xf>
    <xf numFmtId="14" fontId="5" fillId="2" borderId="0" xfId="4" applyNumberFormat="1" applyFont="1" applyFill="1" applyAlignment="1">
      <alignment vertical="top"/>
    </xf>
    <xf numFmtId="0" fontId="4" fillId="2" borderId="0" xfId="4" applyFill="1"/>
    <xf numFmtId="0" fontId="4" fillId="2" borderId="6" xfId="4" applyFill="1" applyBorder="1"/>
    <xf numFmtId="0" fontId="2" fillId="3" borderId="4" xfId="4" applyFont="1" applyFill="1" applyBorder="1" applyAlignment="1">
      <alignment horizontal="center" vertical="center"/>
    </xf>
    <xf numFmtId="0" fontId="2" fillId="3" borderId="4" xfId="4" applyFont="1" applyFill="1" applyBorder="1" applyAlignment="1">
      <alignment horizontal="center" vertical="center" wrapText="1"/>
    </xf>
    <xf numFmtId="0" fontId="2" fillId="3" borderId="4" xfId="1" applyFont="1" applyFill="1" applyBorder="1" applyAlignment="1" applyProtection="1">
      <alignment horizontal="center" vertical="center" wrapText="1"/>
      <protection locked="0"/>
    </xf>
    <xf numFmtId="0" fontId="4" fillId="0" borderId="4" xfId="4" applyBorder="1" applyAlignment="1">
      <alignment vertical="center" wrapText="1"/>
    </xf>
    <xf numFmtId="0" fontId="4" fillId="0" borderId="4" xfId="4" applyBorder="1" applyAlignment="1">
      <alignment horizontal="justify" vertical="center" wrapText="1"/>
    </xf>
    <xf numFmtId="0" fontId="3" fillId="0" borderId="4" xfId="4" applyFont="1" applyBorder="1" applyAlignment="1">
      <alignment horizontal="justify" vertical="center" wrapText="1"/>
    </xf>
    <xf numFmtId="0" fontId="2" fillId="3" borderId="4" xfId="4" applyFont="1" applyFill="1" applyBorder="1" applyAlignment="1">
      <alignment horizontal="justify" vertical="center" wrapText="1"/>
    </xf>
    <xf numFmtId="0" fontId="6" fillId="0" borderId="4" xfId="4" applyFont="1" applyBorder="1" applyAlignment="1">
      <alignment horizontal="justify" vertical="center" wrapText="1"/>
    </xf>
    <xf numFmtId="164" fontId="4" fillId="0" borderId="4" xfId="4" applyNumberFormat="1" applyBorder="1" applyAlignment="1">
      <alignment horizontal="center" vertical="center" wrapText="1"/>
    </xf>
    <xf numFmtId="3" fontId="3" fillId="0" borderId="4" xfId="4" applyNumberFormat="1" applyFont="1" applyBorder="1" applyAlignment="1">
      <alignment horizontal="center" vertical="center" wrapText="1"/>
    </xf>
    <xf numFmtId="3" fontId="4" fillId="3" borderId="4" xfId="4" applyNumberFormat="1" applyFill="1" applyBorder="1" applyAlignment="1">
      <alignment horizontal="center" vertical="center" wrapText="1"/>
    </xf>
    <xf numFmtId="2" fontId="4" fillId="0" borderId="4" xfId="6" applyNumberFormat="1" applyFont="1" applyFill="1" applyBorder="1" applyAlignment="1">
      <alignment horizontal="center" vertical="center"/>
    </xf>
    <xf numFmtId="0" fontId="4" fillId="0" borderId="0" xfId="4" applyAlignment="1">
      <alignment horizontal="center"/>
    </xf>
    <xf numFmtId="165" fontId="3" fillId="0" borderId="4" xfId="7" applyNumberFormat="1" applyFont="1" applyFill="1" applyBorder="1" applyAlignment="1">
      <alignment horizontal="center" vertical="center" wrapText="1"/>
    </xf>
    <xf numFmtId="0" fontId="5" fillId="0" borderId="4" xfId="4" applyFont="1" applyBorder="1" applyAlignment="1">
      <alignment horizontal="center" vertical="center"/>
    </xf>
    <xf numFmtId="0" fontId="3" fillId="0" borderId="4" xfId="4" applyFont="1" applyBorder="1" applyAlignment="1">
      <alignment horizontal="center" vertical="center" wrapText="1"/>
    </xf>
    <xf numFmtId="164" fontId="3" fillId="0" borderId="4" xfId="4" applyNumberFormat="1" applyFont="1" applyBorder="1" applyAlignment="1">
      <alignment horizontal="justify" vertical="center" wrapText="1"/>
    </xf>
    <xf numFmtId="164" fontId="4" fillId="0" borderId="4" xfId="4" applyNumberFormat="1" applyBorder="1" applyAlignment="1">
      <alignment horizontal="justify" vertical="center" wrapText="1"/>
    </xf>
    <xf numFmtId="166" fontId="3" fillId="0" borderId="4" xfId="4" applyNumberFormat="1" applyFont="1" applyBorder="1" applyAlignment="1">
      <alignment horizontal="center" vertical="center" wrapText="1"/>
    </xf>
    <xf numFmtId="9" fontId="3" fillId="0" borderId="4" xfId="4" applyNumberFormat="1" applyFont="1" applyBorder="1" applyAlignment="1">
      <alignment horizontal="center" vertical="center" wrapText="1"/>
    </xf>
    <xf numFmtId="9" fontId="4" fillId="3" borderId="4" xfId="4" applyNumberFormat="1" applyFill="1" applyBorder="1" applyAlignment="1">
      <alignment horizontal="center" vertical="center" wrapText="1"/>
    </xf>
    <xf numFmtId="3" fontId="3" fillId="0" borderId="10" xfId="4" applyNumberFormat="1" applyFont="1" applyBorder="1" applyAlignment="1">
      <alignment horizontal="center" vertical="center" wrapText="1"/>
    </xf>
    <xf numFmtId="166" fontId="3" fillId="0" borderId="10" xfId="4" applyNumberFormat="1" applyFont="1" applyBorder="1" applyAlignment="1">
      <alignment horizontal="center" vertical="center" wrapText="1"/>
    </xf>
    <xf numFmtId="0" fontId="5" fillId="0" borderId="10" xfId="4" applyFont="1" applyBorder="1" applyAlignment="1">
      <alignment horizontal="center" vertical="center"/>
    </xf>
    <xf numFmtId="3" fontId="6" fillId="0" borderId="4" xfId="4" applyNumberFormat="1" applyFont="1" applyBorder="1" applyAlignment="1">
      <alignment horizontal="center" vertical="center" wrapText="1"/>
    </xf>
    <xf numFmtId="9" fontId="6" fillId="0" borderId="4" xfId="4" applyNumberFormat="1" applyFont="1" applyBorder="1" applyAlignment="1">
      <alignment horizontal="center" vertical="center" wrapText="1"/>
    </xf>
    <xf numFmtId="0" fontId="3" fillId="3" borderId="7" xfId="4" applyFont="1" applyFill="1" applyBorder="1" applyAlignment="1">
      <alignment horizontal="justify"/>
    </xf>
    <xf numFmtId="0" fontId="3" fillId="3" borderId="8" xfId="4" applyFont="1" applyFill="1" applyBorder="1"/>
    <xf numFmtId="9" fontId="2" fillId="3" borderId="8" xfId="4" applyNumberFormat="1" applyFont="1" applyFill="1" applyBorder="1" applyAlignment="1">
      <alignment horizontal="center" vertical="center"/>
    </xf>
    <xf numFmtId="9" fontId="2" fillId="3" borderId="9" xfId="4" applyNumberFormat="1" applyFont="1" applyFill="1" applyBorder="1" applyAlignment="1">
      <alignment horizontal="center" vertical="center"/>
    </xf>
    <xf numFmtId="0" fontId="2" fillId="3" borderId="9" xfId="4" applyFont="1" applyFill="1" applyBorder="1" applyAlignment="1">
      <alignment vertical="center"/>
    </xf>
    <xf numFmtId="0" fontId="3" fillId="3" borderId="4" xfId="4" applyFont="1" applyFill="1" applyBorder="1" applyAlignment="1">
      <alignment vertical="center"/>
    </xf>
    <xf numFmtId="167" fontId="3" fillId="3" borderId="4" xfId="3" applyNumberFormat="1" applyFont="1" applyFill="1" applyBorder="1" applyAlignment="1">
      <alignment horizontal="right" vertical="center"/>
    </xf>
    <xf numFmtId="167" fontId="3" fillId="3" borderId="4" xfId="3" applyNumberFormat="1" applyFont="1" applyFill="1" applyBorder="1" applyAlignment="1">
      <alignment vertical="center"/>
    </xf>
    <xf numFmtId="167" fontId="2" fillId="3" borderId="4" xfId="3" applyNumberFormat="1" applyFont="1" applyFill="1" applyBorder="1" applyAlignment="1">
      <alignment vertical="center"/>
    </xf>
    <xf numFmtId="167" fontId="2" fillId="3" borderId="4" xfId="3" applyNumberFormat="1" applyFont="1" applyFill="1" applyBorder="1" applyAlignment="1">
      <alignment horizontal="right" vertical="center"/>
    </xf>
    <xf numFmtId="165" fontId="2" fillId="3" borderId="4" xfId="7" applyNumberFormat="1" applyFont="1" applyFill="1" applyBorder="1" applyAlignment="1">
      <alignment horizontal="center" vertical="center" wrapText="1"/>
    </xf>
    <xf numFmtId="0" fontId="4" fillId="0" borderId="0" xfId="4" applyAlignment="1">
      <alignment horizontal="right"/>
    </xf>
    <xf numFmtId="166" fontId="4" fillId="0" borderId="0" xfId="4" applyNumberFormat="1"/>
    <xf numFmtId="0" fontId="3" fillId="0" borderId="0" xfId="4" applyFont="1"/>
    <xf numFmtId="9" fontId="2" fillId="3" borderId="4" xfId="0" applyNumberFormat="1" applyFont="1" applyFill="1" applyBorder="1" applyAlignment="1">
      <alignment horizontal="center" vertical="center"/>
    </xf>
    <xf numFmtId="0" fontId="2" fillId="3" borderId="10" xfId="4" applyFont="1" applyFill="1" applyBorder="1" applyAlignment="1">
      <alignment horizontal="center" vertical="center"/>
    </xf>
    <xf numFmtId="0" fontId="2" fillId="3" borderId="7" xfId="4" applyFont="1" applyFill="1" applyBorder="1" applyAlignment="1">
      <alignment horizontal="center" vertical="center"/>
    </xf>
    <xf numFmtId="165" fontId="5" fillId="0" borderId="4" xfId="4" applyNumberFormat="1" applyFont="1" applyBorder="1" applyAlignment="1">
      <alignment horizontal="center" vertical="center"/>
    </xf>
    <xf numFmtId="165" fontId="4" fillId="0" borderId="4" xfId="4" applyNumberFormat="1" applyBorder="1" applyAlignment="1">
      <alignment horizontal="center" vertical="center"/>
    </xf>
    <xf numFmtId="0" fontId="4" fillId="0" borderId="10" xfId="4" applyBorder="1" applyAlignment="1">
      <alignment vertical="center" wrapText="1"/>
    </xf>
    <xf numFmtId="0" fontId="3" fillId="0" borderId="10" xfId="4" applyFont="1" applyBorder="1" applyAlignment="1">
      <alignment vertical="center" wrapText="1"/>
    </xf>
    <xf numFmtId="0" fontId="4" fillId="3" borderId="4" xfId="4" applyFill="1" applyBorder="1" applyAlignment="1">
      <alignment horizontal="center" vertical="center"/>
    </xf>
    <xf numFmtId="0" fontId="2" fillId="3" borderId="10" xfId="4" applyFont="1" applyFill="1" applyBorder="1" applyAlignment="1">
      <alignment horizontal="justify" vertical="center" wrapText="1"/>
    </xf>
    <xf numFmtId="0" fontId="6" fillId="0" borderId="10" xfId="4" applyFont="1" applyBorder="1" applyAlignment="1">
      <alignment horizontal="justify" vertical="center" wrapText="1"/>
    </xf>
    <xf numFmtId="166" fontId="3" fillId="0" borderId="4" xfId="4" applyNumberFormat="1" applyFont="1" applyBorder="1" applyAlignment="1">
      <alignment horizontal="right" vertical="center" wrapText="1" indent="1"/>
    </xf>
    <xf numFmtId="166" fontId="3" fillId="0" borderId="4" xfId="3" applyNumberFormat="1" applyFont="1" applyFill="1" applyBorder="1" applyAlignment="1">
      <alignment horizontal="right" vertical="center" wrapText="1" indent="1"/>
    </xf>
    <xf numFmtId="166" fontId="7" fillId="0" borderId="4" xfId="4" applyNumberFormat="1" applyFont="1" applyBorder="1" applyAlignment="1">
      <alignment horizontal="right" vertical="center" wrapText="1" indent="1"/>
    </xf>
    <xf numFmtId="166" fontId="4" fillId="0" borderId="4" xfId="4" applyNumberFormat="1" applyBorder="1" applyAlignment="1">
      <alignment horizontal="right" indent="1"/>
    </xf>
    <xf numFmtId="166" fontId="2" fillId="3" borderId="4" xfId="3" applyNumberFormat="1" applyFont="1" applyFill="1" applyBorder="1" applyAlignment="1">
      <alignment horizontal="right" vertical="center" wrapText="1" indent="1"/>
    </xf>
    <xf numFmtId="166" fontId="4" fillId="0" borderId="0" xfId="4" applyNumberFormat="1" applyAlignment="1">
      <alignment horizontal="right" indent="1"/>
    </xf>
    <xf numFmtId="1" fontId="4" fillId="0" borderId="4" xfId="4" applyNumberFormat="1" applyBorder="1" applyAlignment="1">
      <alignment horizontal="right" vertical="center"/>
    </xf>
    <xf numFmtId="1" fontId="4" fillId="0" borderId="4" xfId="4" applyNumberFormat="1" applyBorder="1" applyAlignment="1">
      <alignment horizontal="right" vertical="center" wrapText="1"/>
    </xf>
    <xf numFmtId="1" fontId="3" fillId="0" borderId="4" xfId="4" applyNumberFormat="1" applyFont="1" applyBorder="1" applyAlignment="1">
      <alignment horizontal="right" vertical="center" wrapText="1"/>
    </xf>
    <xf numFmtId="1" fontId="3" fillId="0" borderId="4" xfId="4" applyNumberFormat="1" applyFont="1" applyBorder="1" applyAlignment="1">
      <alignment horizontal="right" vertical="center"/>
    </xf>
    <xf numFmtId="0" fontId="5" fillId="3" borderId="4" xfId="4" applyFont="1" applyFill="1" applyBorder="1" applyAlignment="1">
      <alignment horizontal="center" vertical="center"/>
    </xf>
    <xf numFmtId="166" fontId="5" fillId="3" borderId="4" xfId="3" applyNumberFormat="1" applyFont="1" applyFill="1" applyBorder="1" applyAlignment="1">
      <alignment horizontal="center" vertical="center"/>
    </xf>
    <xf numFmtId="0" fontId="4" fillId="0" borderId="0" xfId="4" applyAlignment="1">
      <alignment vertical="center"/>
    </xf>
    <xf numFmtId="1" fontId="4" fillId="0" borderId="4" xfId="4" applyNumberFormat="1" applyBorder="1" applyAlignment="1">
      <alignment horizontal="center"/>
    </xf>
    <xf numFmtId="0" fontId="4" fillId="0" borderId="4" xfId="4" applyBorder="1"/>
    <xf numFmtId="1" fontId="4" fillId="0" borderId="4" xfId="4" applyNumberFormat="1" applyBorder="1"/>
    <xf numFmtId="0" fontId="4" fillId="0" borderId="4" xfId="4" applyBorder="1" applyAlignment="1">
      <alignment horizontal="center"/>
    </xf>
    <xf numFmtId="169" fontId="4" fillId="0" borderId="4" xfId="4" applyNumberFormat="1" applyBorder="1" applyAlignment="1">
      <alignment horizontal="center"/>
    </xf>
    <xf numFmtId="168" fontId="0" fillId="0" borderId="4" xfId="8" applyFont="1" applyBorder="1" applyAlignment="1"/>
    <xf numFmtId="168" fontId="0" fillId="0" borderId="4" xfId="8" applyFont="1" applyBorder="1"/>
    <xf numFmtId="9" fontId="2" fillId="3" borderId="4" xfId="4" applyNumberFormat="1" applyFont="1" applyFill="1" applyBorder="1" applyAlignment="1">
      <alignment horizontal="center" vertical="center"/>
    </xf>
    <xf numFmtId="0" fontId="8" fillId="2" borderId="4" xfId="9" applyFill="1" applyBorder="1" applyAlignment="1" applyProtection="1"/>
    <xf numFmtId="1" fontId="4" fillId="0" borderId="4" xfId="4" applyNumberFormat="1" applyBorder="1" applyAlignment="1">
      <alignment horizontal="center" vertical="center"/>
    </xf>
    <xf numFmtId="0" fontId="4" fillId="0" borderId="4" xfId="4" applyBorder="1" applyAlignment="1">
      <alignment horizontal="center" vertical="center"/>
    </xf>
    <xf numFmtId="167" fontId="0" fillId="0" borderId="4" xfId="3" applyNumberFormat="1" applyFont="1" applyFill="1" applyBorder="1" applyAlignment="1">
      <alignment horizontal="center" vertical="center"/>
    </xf>
    <xf numFmtId="167" fontId="0" fillId="0" borderId="4" xfId="3" applyNumberFormat="1" applyFont="1" applyBorder="1" applyAlignment="1">
      <alignment horizontal="center" vertical="center"/>
    </xf>
    <xf numFmtId="0" fontId="4" fillId="0" borderId="0" xfId="4" applyAlignment="1">
      <alignment horizontal="left"/>
    </xf>
    <xf numFmtId="10" fontId="4" fillId="0" borderId="0" xfId="4" applyNumberFormat="1"/>
    <xf numFmtId="0" fontId="5" fillId="0" borderId="0" xfId="4" applyFont="1" applyAlignment="1">
      <alignment horizontal="center" vertical="center"/>
    </xf>
    <xf numFmtId="0" fontId="5" fillId="0" borderId="0" xfId="4" applyFont="1" applyAlignment="1">
      <alignment horizontal="center" vertical="center" wrapText="1"/>
    </xf>
    <xf numFmtId="0" fontId="4" fillId="0" borderId="0" xfId="4" applyAlignment="1">
      <alignment horizontal="center" vertical="center"/>
    </xf>
    <xf numFmtId="0" fontId="4" fillId="0" borderId="0" xfId="4" applyAlignment="1">
      <alignment horizontal="justify" vertical="center"/>
    </xf>
    <xf numFmtId="167" fontId="0" fillId="0" borderId="0" xfId="3" applyNumberFormat="1" applyFont="1" applyAlignment="1">
      <alignment horizontal="justify" vertical="center"/>
    </xf>
    <xf numFmtId="0" fontId="4" fillId="0" borderId="0" xfId="4" applyAlignment="1">
      <alignment horizontal="justify" vertical="center" wrapText="1"/>
    </xf>
    <xf numFmtId="167" fontId="4" fillId="0" borderId="0" xfId="4" applyNumberFormat="1" applyAlignment="1">
      <alignment vertical="center"/>
    </xf>
    <xf numFmtId="9" fontId="0" fillId="0" borderId="0" xfId="7" applyFont="1" applyAlignment="1">
      <alignment vertical="center"/>
    </xf>
    <xf numFmtId="0" fontId="5" fillId="6" borderId="4" xfId="4" applyFont="1" applyFill="1" applyBorder="1" applyAlignment="1">
      <alignment horizontal="center" vertical="center"/>
    </xf>
    <xf numFmtId="0" fontId="10" fillId="6" borderId="4" xfId="4" applyFont="1" applyFill="1" applyBorder="1" applyAlignment="1">
      <alignment horizontal="center" vertical="center" wrapText="1"/>
    </xf>
    <xf numFmtId="0" fontId="11" fillId="6" borderId="4" xfId="4" applyFont="1" applyFill="1" applyBorder="1" applyAlignment="1">
      <alignment horizontal="center" vertical="center"/>
    </xf>
    <xf numFmtId="17" fontId="11" fillId="6" borderId="4" xfId="4" applyNumberFormat="1" applyFont="1" applyFill="1" applyBorder="1" applyAlignment="1">
      <alignment horizontal="center" vertical="center" wrapText="1"/>
    </xf>
    <xf numFmtId="0" fontId="11" fillId="0" borderId="4" xfId="4" applyFont="1" applyBorder="1" applyAlignment="1">
      <alignment horizontal="center" vertical="center" wrapText="1"/>
    </xf>
    <xf numFmtId="0" fontId="5" fillId="7" borderId="4" xfId="4" applyFont="1" applyFill="1" applyBorder="1" applyAlignment="1">
      <alignment horizontal="center" vertical="center"/>
    </xf>
    <xf numFmtId="0" fontId="4" fillId="7" borderId="4" xfId="4" applyFill="1" applyBorder="1"/>
    <xf numFmtId="0" fontId="4" fillId="7" borderId="4" xfId="4" applyFill="1" applyBorder="1" applyAlignment="1">
      <alignment horizontal="center" vertical="center"/>
    </xf>
    <xf numFmtId="1" fontId="12" fillId="0" borderId="4" xfId="4" applyNumberFormat="1" applyFont="1" applyBorder="1" applyAlignment="1">
      <alignment horizontal="center" vertical="center"/>
    </xf>
    <xf numFmtId="1" fontId="13" fillId="0" borderId="4" xfId="4" applyNumberFormat="1" applyFont="1" applyBorder="1" applyAlignment="1">
      <alignment horizontal="center" vertical="center"/>
    </xf>
    <xf numFmtId="0" fontId="5" fillId="8" borderId="4" xfId="4" applyFont="1" applyFill="1" applyBorder="1" applyAlignment="1">
      <alignment horizontal="center" vertical="center"/>
    </xf>
    <xf numFmtId="0" fontId="4" fillId="8" borderId="4" xfId="4" applyFill="1" applyBorder="1"/>
    <xf numFmtId="0" fontId="4" fillId="8" borderId="4" xfId="4" applyFill="1" applyBorder="1" applyAlignment="1">
      <alignment horizontal="center" vertical="center"/>
    </xf>
    <xf numFmtId="1" fontId="4" fillId="3" borderId="4" xfId="4" applyNumberFormat="1" applyFill="1" applyBorder="1" applyAlignment="1">
      <alignment horizontal="center" vertical="center"/>
    </xf>
    <xf numFmtId="9" fontId="0" fillId="8" borderId="4" xfId="7" applyFont="1" applyFill="1" applyBorder="1" applyAlignment="1">
      <alignment horizontal="center" vertical="center"/>
    </xf>
    <xf numFmtId="9" fontId="4" fillId="3" borderId="4" xfId="4" applyNumberFormat="1" applyFill="1" applyBorder="1" applyAlignment="1">
      <alignment horizontal="center" vertical="center"/>
    </xf>
    <xf numFmtId="9" fontId="0" fillId="3" borderId="4" xfId="7" applyFont="1" applyFill="1" applyBorder="1" applyAlignment="1">
      <alignment horizontal="center" vertical="center"/>
    </xf>
    <xf numFmtId="9" fontId="0" fillId="0" borderId="4" xfId="7" applyFont="1" applyBorder="1" applyAlignment="1">
      <alignment horizontal="center" vertical="center"/>
    </xf>
    <xf numFmtId="9" fontId="0" fillId="0" borderId="4" xfId="7" applyFont="1" applyBorder="1" applyAlignment="1">
      <alignment horizontal="center"/>
    </xf>
    <xf numFmtId="9" fontId="4" fillId="0" borderId="4" xfId="4" applyNumberFormat="1" applyBorder="1" applyAlignment="1">
      <alignment horizontal="center"/>
    </xf>
    <xf numFmtId="9" fontId="13" fillId="0" borderId="4" xfId="7" applyFont="1" applyBorder="1" applyAlignment="1">
      <alignment horizontal="center" vertical="center"/>
    </xf>
    <xf numFmtId="1" fontId="0" fillId="0" borderId="4" xfId="10" applyNumberFormat="1" applyFont="1" applyFill="1" applyBorder="1" applyAlignment="1">
      <alignment horizontal="center" vertical="center"/>
    </xf>
    <xf numFmtId="1" fontId="0" fillId="0" borderId="4" xfId="10" applyNumberFormat="1" applyFont="1" applyFill="1" applyBorder="1" applyAlignment="1">
      <alignment horizontal="center"/>
    </xf>
    <xf numFmtId="0" fontId="5" fillId="9" borderId="4" xfId="4" applyFont="1" applyFill="1" applyBorder="1" applyAlignment="1">
      <alignment horizontal="center" vertical="center"/>
    </xf>
    <xf numFmtId="0" fontId="4" fillId="9" borderId="4" xfId="4" applyFill="1" applyBorder="1"/>
    <xf numFmtId="0" fontId="4" fillId="9" borderId="4" xfId="4" applyFill="1" applyBorder="1" applyAlignment="1">
      <alignment horizontal="center" vertical="center"/>
    </xf>
    <xf numFmtId="0" fontId="5" fillId="4" borderId="4" xfId="4" applyFont="1" applyFill="1" applyBorder="1" applyAlignment="1">
      <alignment horizontal="center" vertical="center"/>
    </xf>
    <xf numFmtId="0" fontId="4" fillId="4" borderId="4" xfId="4" applyFill="1" applyBorder="1"/>
    <xf numFmtId="0" fontId="4" fillId="4" borderId="4" xfId="4" applyFill="1" applyBorder="1" applyAlignment="1">
      <alignment horizontal="center" vertical="center"/>
    </xf>
    <xf numFmtId="0" fontId="3" fillId="0" borderId="4" xfId="4" applyFont="1" applyBorder="1" applyAlignment="1">
      <alignment horizontal="center"/>
    </xf>
    <xf numFmtId="0" fontId="9" fillId="0" borderId="0" xfId="11"/>
    <xf numFmtId="0" fontId="14" fillId="0" borderId="0" xfId="11" applyFont="1" applyAlignment="1">
      <alignment wrapText="1"/>
    </xf>
    <xf numFmtId="0" fontId="16" fillId="0" borderId="16" xfId="11" applyFont="1" applyBorder="1" applyAlignment="1">
      <alignment horizontal="center" vertical="center" wrapText="1"/>
    </xf>
    <xf numFmtId="0" fontId="14" fillId="10" borderId="16" xfId="11" applyFont="1" applyFill="1" applyBorder="1" applyAlignment="1">
      <alignment wrapText="1"/>
    </xf>
    <xf numFmtId="4" fontId="14" fillId="10" borderId="16" xfId="11" applyNumberFormat="1" applyFont="1" applyFill="1" applyBorder="1" applyAlignment="1">
      <alignment horizontal="right" wrapText="1"/>
    </xf>
    <xf numFmtId="0" fontId="14" fillId="10" borderId="16" xfId="11" applyFont="1" applyFill="1" applyBorder="1" applyAlignment="1">
      <alignment horizontal="right" wrapText="1"/>
    </xf>
    <xf numFmtId="0" fontId="9" fillId="10" borderId="0" xfId="11" applyFill="1"/>
    <xf numFmtId="0" fontId="14" fillId="11" borderId="16" xfId="11" applyFont="1" applyFill="1" applyBorder="1" applyAlignment="1">
      <alignment wrapText="1"/>
    </xf>
    <xf numFmtId="4" fontId="14" fillId="11" borderId="16" xfId="11" applyNumberFormat="1" applyFont="1" applyFill="1" applyBorder="1" applyAlignment="1">
      <alignment horizontal="right" wrapText="1"/>
    </xf>
    <xf numFmtId="0" fontId="14" fillId="11" borderId="16" xfId="11" applyFont="1" applyFill="1" applyBorder="1" applyAlignment="1">
      <alignment horizontal="right" wrapText="1"/>
    </xf>
    <xf numFmtId="0" fontId="9" fillId="11" borderId="0" xfId="11" applyFill="1"/>
    <xf numFmtId="0" fontId="14" fillId="12" borderId="16" xfId="11" applyFont="1" applyFill="1" applyBorder="1" applyAlignment="1">
      <alignment wrapText="1"/>
    </xf>
    <xf numFmtId="4" fontId="14" fillId="12" borderId="16" xfId="11" applyNumberFormat="1" applyFont="1" applyFill="1" applyBorder="1" applyAlignment="1">
      <alignment horizontal="right" wrapText="1"/>
    </xf>
    <xf numFmtId="0" fontId="14" fillId="12" borderId="16" xfId="11" applyFont="1" applyFill="1" applyBorder="1" applyAlignment="1">
      <alignment horizontal="right" wrapText="1"/>
    </xf>
    <xf numFmtId="0" fontId="14" fillId="7" borderId="16" xfId="11" applyFont="1" applyFill="1" applyBorder="1" applyAlignment="1">
      <alignment wrapText="1"/>
    </xf>
    <xf numFmtId="0" fontId="14" fillId="7" borderId="16" xfId="11" applyFont="1" applyFill="1" applyBorder="1" applyAlignment="1">
      <alignment horizontal="right" wrapText="1"/>
    </xf>
    <xf numFmtId="4" fontId="14" fillId="7" borderId="16" xfId="11" applyNumberFormat="1" applyFont="1" applyFill="1" applyBorder="1" applyAlignment="1">
      <alignment horizontal="right" wrapText="1"/>
    </xf>
    <xf numFmtId="0" fontId="9" fillId="7" borderId="0" xfId="11" applyFill="1"/>
    <xf numFmtId="0" fontId="14" fillId="8" borderId="16" xfId="11" applyFont="1" applyFill="1" applyBorder="1" applyAlignment="1">
      <alignment wrapText="1"/>
    </xf>
    <xf numFmtId="0" fontId="14" fillId="8" borderId="16" xfId="11" applyFont="1" applyFill="1" applyBorder="1" applyAlignment="1">
      <alignment horizontal="right" wrapText="1"/>
    </xf>
    <xf numFmtId="4" fontId="14" fillId="8" borderId="16" xfId="11" applyNumberFormat="1" applyFont="1" applyFill="1" applyBorder="1" applyAlignment="1">
      <alignment horizontal="right" wrapText="1"/>
    </xf>
    <xf numFmtId="0" fontId="9" fillId="8" borderId="0" xfId="11" applyFill="1"/>
    <xf numFmtId="0" fontId="14" fillId="13" borderId="16" xfId="11" applyFont="1" applyFill="1" applyBorder="1" applyAlignment="1">
      <alignment wrapText="1"/>
    </xf>
    <xf numFmtId="0" fontId="14" fillId="13" borderId="16" xfId="11" applyFont="1" applyFill="1" applyBorder="1" applyAlignment="1">
      <alignment horizontal="right" wrapText="1"/>
    </xf>
    <xf numFmtId="4" fontId="14" fillId="13" borderId="16" xfId="11" applyNumberFormat="1" applyFont="1" applyFill="1" applyBorder="1" applyAlignment="1">
      <alignment horizontal="right" wrapText="1"/>
    </xf>
    <xf numFmtId="0" fontId="9" fillId="13" borderId="0" xfId="11" applyFill="1"/>
    <xf numFmtId="0" fontId="14" fillId="9" borderId="16" xfId="11" applyFont="1" applyFill="1" applyBorder="1" applyAlignment="1">
      <alignment wrapText="1"/>
    </xf>
    <xf numFmtId="4" fontId="14" fillId="9" borderId="16" xfId="11" applyNumberFormat="1" applyFont="1" applyFill="1" applyBorder="1" applyAlignment="1">
      <alignment horizontal="right" wrapText="1"/>
    </xf>
    <xf numFmtId="0" fontId="14" fillId="9" borderId="16" xfId="11" applyFont="1" applyFill="1" applyBorder="1" applyAlignment="1">
      <alignment horizontal="right" wrapText="1"/>
    </xf>
    <xf numFmtId="0" fontId="9" fillId="9" borderId="0" xfId="11" applyFill="1"/>
    <xf numFmtId="0" fontId="14" fillId="4" borderId="16" xfId="11" applyFont="1" applyFill="1" applyBorder="1" applyAlignment="1">
      <alignment wrapText="1"/>
    </xf>
    <xf numFmtId="4" fontId="14" fillId="4" borderId="16" xfId="11" applyNumberFormat="1" applyFont="1" applyFill="1" applyBorder="1" applyAlignment="1">
      <alignment horizontal="right" wrapText="1"/>
    </xf>
    <xf numFmtId="0" fontId="14" fillId="4" borderId="16" xfId="11" applyFont="1" applyFill="1" applyBorder="1" applyAlignment="1">
      <alignment horizontal="right" wrapText="1"/>
    </xf>
    <xf numFmtId="0" fontId="9" fillId="4" borderId="0" xfId="11" applyFill="1"/>
    <xf numFmtId="0" fontId="14" fillId="14" borderId="16" xfId="11" applyFont="1" applyFill="1" applyBorder="1" applyAlignment="1">
      <alignment wrapText="1"/>
    </xf>
    <xf numFmtId="4" fontId="14" fillId="14" borderId="16" xfId="11" applyNumberFormat="1" applyFont="1" applyFill="1" applyBorder="1" applyAlignment="1">
      <alignment horizontal="right" wrapText="1"/>
    </xf>
    <xf numFmtId="0" fontId="14" fillId="14" borderId="16" xfId="11" applyFont="1" applyFill="1" applyBorder="1" applyAlignment="1">
      <alignment horizontal="right" wrapText="1"/>
    </xf>
    <xf numFmtId="0" fontId="9" fillId="14" borderId="0" xfId="11" applyFill="1"/>
    <xf numFmtId="0" fontId="9" fillId="8" borderId="0" xfId="12" applyFill="1" applyAlignment="1">
      <alignment vertical="center"/>
    </xf>
    <xf numFmtId="4" fontId="9" fillId="8" borderId="0" xfId="12" applyNumberFormat="1" applyFill="1" applyAlignment="1">
      <alignment vertical="center"/>
    </xf>
    <xf numFmtId="44" fontId="9" fillId="8" borderId="0" xfId="13" applyFont="1" applyFill="1" applyAlignment="1">
      <alignment vertical="center"/>
    </xf>
    <xf numFmtId="44" fontId="9" fillId="8" borderId="0" xfId="13" applyFont="1" applyFill="1"/>
    <xf numFmtId="0" fontId="9" fillId="9" borderId="0" xfId="12" applyFill="1" applyAlignment="1">
      <alignment vertical="center"/>
    </xf>
    <xf numFmtId="4" fontId="9" fillId="9" borderId="0" xfId="12" applyNumberFormat="1" applyFill="1" applyAlignment="1">
      <alignment vertical="center"/>
    </xf>
    <xf numFmtId="44" fontId="9" fillId="9" borderId="0" xfId="13" applyFont="1" applyFill="1" applyAlignment="1">
      <alignment vertical="center"/>
    </xf>
    <xf numFmtId="44" fontId="9" fillId="9" borderId="0" xfId="13" applyFont="1" applyFill="1"/>
    <xf numFmtId="0" fontId="9" fillId="7" borderId="0" xfId="12" applyFill="1" applyAlignment="1">
      <alignment vertical="center"/>
    </xf>
    <xf numFmtId="4" fontId="9" fillId="7" borderId="0" xfId="12" applyNumberFormat="1" applyFill="1" applyAlignment="1">
      <alignment vertical="center"/>
    </xf>
    <xf numFmtId="44" fontId="9" fillId="7" borderId="0" xfId="13" applyFont="1" applyFill="1" applyAlignment="1">
      <alignment vertical="center"/>
    </xf>
    <xf numFmtId="44" fontId="9" fillId="7" borderId="0" xfId="13" applyFont="1" applyFill="1"/>
    <xf numFmtId="0" fontId="9" fillId="4" borderId="0" xfId="12" applyFill="1" applyAlignment="1">
      <alignment vertical="center"/>
    </xf>
    <xf numFmtId="4" fontId="9" fillId="4" borderId="0" xfId="12" applyNumberFormat="1" applyFill="1" applyAlignment="1">
      <alignment vertical="center"/>
    </xf>
    <xf numFmtId="44" fontId="9" fillId="4" borderId="0" xfId="13" applyFont="1" applyFill="1" applyAlignment="1">
      <alignment vertical="center"/>
    </xf>
    <xf numFmtId="44" fontId="9" fillId="4" borderId="0" xfId="13" applyFont="1" applyFill="1"/>
    <xf numFmtId="0" fontId="9" fillId="14" borderId="0" xfId="12" applyFill="1" applyAlignment="1">
      <alignment vertical="center"/>
    </xf>
    <xf numFmtId="4" fontId="9" fillId="14" borderId="0" xfId="12" applyNumberFormat="1" applyFill="1" applyAlignment="1">
      <alignment vertical="center"/>
    </xf>
    <xf numFmtId="44" fontId="9" fillId="14" borderId="0" xfId="13" applyFont="1" applyFill="1" applyAlignment="1">
      <alignment vertical="center"/>
    </xf>
    <xf numFmtId="44" fontId="9" fillId="14" borderId="0" xfId="13" applyFont="1" applyFill="1"/>
    <xf numFmtId="0" fontId="9" fillId="0" borderId="0" xfId="14"/>
    <xf numFmtId="44" fontId="9" fillId="0" borderId="0" xfId="14" applyNumberFormat="1"/>
    <xf numFmtId="0" fontId="9" fillId="0" borderId="0" xfId="15"/>
    <xf numFmtId="4" fontId="9" fillId="0" borderId="0" xfId="14" applyNumberFormat="1"/>
    <xf numFmtId="9" fontId="9" fillId="0" borderId="0" xfId="16" applyFont="1"/>
    <xf numFmtId="10" fontId="9" fillId="0" borderId="0" xfId="15" applyNumberFormat="1"/>
    <xf numFmtId="0" fontId="9" fillId="0" borderId="0" xfId="17"/>
    <xf numFmtId="0" fontId="14" fillId="0" borderId="0" xfId="17" applyFont="1" applyAlignment="1">
      <alignment wrapText="1"/>
    </xf>
    <xf numFmtId="0" fontId="16" fillId="0" borderId="16" xfId="17" applyFont="1" applyBorder="1" applyAlignment="1">
      <alignment horizontal="center" vertical="center" wrapText="1"/>
    </xf>
    <xf numFmtId="0" fontId="14" fillId="10" borderId="16" xfId="17" applyFont="1" applyFill="1" applyBorder="1" applyAlignment="1">
      <alignment wrapText="1"/>
    </xf>
    <xf numFmtId="4" fontId="14" fillId="10" borderId="16" xfId="17" applyNumberFormat="1" applyFont="1" applyFill="1" applyBorder="1" applyAlignment="1">
      <alignment horizontal="right" wrapText="1"/>
    </xf>
    <xf numFmtId="0" fontId="14" fillId="10" borderId="16" xfId="17" applyFont="1" applyFill="1" applyBorder="1" applyAlignment="1">
      <alignment horizontal="right" wrapText="1"/>
    </xf>
    <xf numFmtId="0" fontId="9" fillId="10" borderId="0" xfId="17" applyFill="1"/>
    <xf numFmtId="0" fontId="14" fillId="11" borderId="16" xfId="17" applyFont="1" applyFill="1" applyBorder="1" applyAlignment="1">
      <alignment wrapText="1"/>
    </xf>
    <xf numFmtId="4" fontId="14" fillId="11" borderId="16" xfId="17" applyNumberFormat="1" applyFont="1" applyFill="1" applyBorder="1" applyAlignment="1">
      <alignment horizontal="right" wrapText="1"/>
    </xf>
    <xf numFmtId="0" fontId="14" fillId="11" borderId="16" xfId="17" applyFont="1" applyFill="1" applyBorder="1" applyAlignment="1">
      <alignment horizontal="right" wrapText="1"/>
    </xf>
    <xf numFmtId="0" fontId="9" fillId="11" borderId="0" xfId="17" applyFill="1"/>
    <xf numFmtId="0" fontId="14" fillId="12" borderId="16" xfId="17" applyFont="1" applyFill="1" applyBorder="1" applyAlignment="1">
      <alignment wrapText="1"/>
    </xf>
    <xf numFmtId="4" fontId="14" fillId="12" borderId="16" xfId="17" applyNumberFormat="1" applyFont="1" applyFill="1" applyBorder="1" applyAlignment="1">
      <alignment horizontal="right" wrapText="1"/>
    </xf>
    <xf numFmtId="0" fontId="14" fillId="12" borderId="16" xfId="17" applyFont="1" applyFill="1" applyBorder="1" applyAlignment="1">
      <alignment horizontal="right" wrapText="1"/>
    </xf>
    <xf numFmtId="0" fontId="14" fillId="8" borderId="16" xfId="17" applyFont="1" applyFill="1" applyBorder="1" applyAlignment="1">
      <alignment wrapText="1"/>
    </xf>
    <xf numFmtId="4" fontId="14" fillId="8" borderId="16" xfId="17" applyNumberFormat="1" applyFont="1" applyFill="1" applyBorder="1" applyAlignment="1">
      <alignment horizontal="right" wrapText="1"/>
    </xf>
    <xf numFmtId="0" fontId="14" fillId="8" borderId="16" xfId="17" applyFont="1" applyFill="1" applyBorder="1" applyAlignment="1">
      <alignment horizontal="right" wrapText="1"/>
    </xf>
    <xf numFmtId="0" fontId="9" fillId="8" borderId="0" xfId="17" applyFill="1"/>
    <xf numFmtId="0" fontId="14" fillId="9" borderId="16" xfId="17" applyFont="1" applyFill="1" applyBorder="1" applyAlignment="1">
      <alignment wrapText="1"/>
    </xf>
    <xf numFmtId="4" fontId="14" fillId="9" borderId="16" xfId="17" applyNumberFormat="1" applyFont="1" applyFill="1" applyBorder="1" applyAlignment="1">
      <alignment horizontal="right" wrapText="1"/>
    </xf>
    <xf numFmtId="0" fontId="14" fillId="9" borderId="16" xfId="17" applyFont="1" applyFill="1" applyBorder="1" applyAlignment="1">
      <alignment horizontal="right" wrapText="1"/>
    </xf>
    <xf numFmtId="0" fontId="9" fillId="9" borderId="0" xfId="17" applyFill="1"/>
    <xf numFmtId="0" fontId="14" fillId="4" borderId="16" xfId="17" applyFont="1" applyFill="1" applyBorder="1" applyAlignment="1">
      <alignment wrapText="1"/>
    </xf>
    <xf numFmtId="4" fontId="14" fillId="4" borderId="16" xfId="17" applyNumberFormat="1" applyFont="1" applyFill="1" applyBorder="1" applyAlignment="1">
      <alignment horizontal="right" wrapText="1"/>
    </xf>
    <xf numFmtId="0" fontId="14" fillId="4" borderId="16" xfId="17" applyFont="1" applyFill="1" applyBorder="1" applyAlignment="1">
      <alignment horizontal="right" wrapText="1"/>
    </xf>
    <xf numFmtId="0" fontId="9" fillId="4" borderId="0" xfId="17" applyFill="1"/>
    <xf numFmtId="0" fontId="14" fillId="7" borderId="16" xfId="17" applyFont="1" applyFill="1" applyBorder="1" applyAlignment="1">
      <alignment wrapText="1"/>
    </xf>
    <xf numFmtId="4" fontId="14" fillId="7" borderId="16" xfId="17" applyNumberFormat="1" applyFont="1" applyFill="1" applyBorder="1" applyAlignment="1">
      <alignment horizontal="right" wrapText="1"/>
    </xf>
    <xf numFmtId="0" fontId="14" fillId="7" borderId="16" xfId="17" applyFont="1" applyFill="1" applyBorder="1" applyAlignment="1">
      <alignment horizontal="right" wrapText="1"/>
    </xf>
    <xf numFmtId="0" fontId="9" fillId="7" borderId="0" xfId="17" applyFill="1"/>
    <xf numFmtId="0" fontId="14" fillId="14" borderId="16" xfId="17" applyFont="1" applyFill="1" applyBorder="1" applyAlignment="1">
      <alignment wrapText="1"/>
    </xf>
    <xf numFmtId="4" fontId="14" fillId="14" borderId="16" xfId="17" applyNumberFormat="1" applyFont="1" applyFill="1" applyBorder="1" applyAlignment="1">
      <alignment horizontal="right" wrapText="1"/>
    </xf>
    <xf numFmtId="0" fontId="14" fillId="14" borderId="16" xfId="17" applyFont="1" applyFill="1" applyBorder="1" applyAlignment="1">
      <alignment horizontal="right" wrapText="1"/>
    </xf>
    <xf numFmtId="0" fontId="9" fillId="14" borderId="0" xfId="17" applyFill="1"/>
    <xf numFmtId="4" fontId="14" fillId="7" borderId="17" xfId="17" applyNumberFormat="1" applyFont="1" applyFill="1" applyBorder="1" applyAlignment="1">
      <alignment horizontal="right" wrapText="1"/>
    </xf>
    <xf numFmtId="0" fontId="14" fillId="7" borderId="17" xfId="17" applyFont="1" applyFill="1" applyBorder="1" applyAlignment="1">
      <alignment horizontal="right" wrapText="1"/>
    </xf>
    <xf numFmtId="0" fontId="16" fillId="0" borderId="0" xfId="17" applyFont="1" applyAlignment="1">
      <alignment horizontal="center" vertical="center" wrapText="1"/>
    </xf>
    <xf numFmtId="0" fontId="9" fillId="0" borderId="0" xfId="12"/>
    <xf numFmtId="0" fontId="14" fillId="0" borderId="0" xfId="12" applyFont="1" applyAlignment="1">
      <alignment wrapText="1"/>
    </xf>
    <xf numFmtId="0" fontId="16" fillId="0" borderId="16" xfId="12" applyFont="1" applyBorder="1" applyAlignment="1">
      <alignment horizontal="center" vertical="center" wrapText="1"/>
    </xf>
    <xf numFmtId="0" fontId="14" fillId="12" borderId="16" xfId="12" applyFont="1" applyFill="1" applyBorder="1" applyAlignment="1">
      <alignment wrapText="1"/>
    </xf>
    <xf numFmtId="4" fontId="14" fillId="12" borderId="16" xfId="12" applyNumberFormat="1" applyFont="1" applyFill="1" applyBorder="1" applyAlignment="1">
      <alignment horizontal="right" wrapText="1"/>
    </xf>
    <xf numFmtId="0" fontId="14" fillId="12" borderId="16" xfId="12" applyFont="1" applyFill="1" applyBorder="1" applyAlignment="1">
      <alignment horizontal="right" wrapText="1"/>
    </xf>
    <xf numFmtId="0" fontId="14" fillId="10" borderId="16" xfId="12" applyFont="1" applyFill="1" applyBorder="1" applyAlignment="1">
      <alignment wrapText="1"/>
    </xf>
    <xf numFmtId="4" fontId="14" fillId="10" borderId="16" xfId="12" applyNumberFormat="1" applyFont="1" applyFill="1" applyBorder="1" applyAlignment="1">
      <alignment horizontal="right" wrapText="1"/>
    </xf>
    <xf numFmtId="0" fontId="14" fillId="10" borderId="16" xfId="12" applyFont="1" applyFill="1" applyBorder="1" applyAlignment="1">
      <alignment horizontal="right" wrapText="1"/>
    </xf>
    <xf numFmtId="0" fontId="9" fillId="10" borderId="0" xfId="12" applyFill="1"/>
    <xf numFmtId="0" fontId="14" fillId="8" borderId="16" xfId="12" applyFont="1" applyFill="1" applyBorder="1" applyAlignment="1">
      <alignment wrapText="1"/>
    </xf>
    <xf numFmtId="4" fontId="14" fillId="8" borderId="16" xfId="12" applyNumberFormat="1" applyFont="1" applyFill="1" applyBorder="1" applyAlignment="1">
      <alignment horizontal="right" wrapText="1"/>
    </xf>
    <xf numFmtId="0" fontId="14" fillId="8" borderId="16" xfId="12" applyFont="1" applyFill="1" applyBorder="1" applyAlignment="1">
      <alignment horizontal="right" wrapText="1"/>
    </xf>
    <xf numFmtId="0" fontId="9" fillId="8" borderId="0" xfId="12" applyFill="1"/>
    <xf numFmtId="0" fontId="14" fillId="9" borderId="16" xfId="12" applyFont="1" applyFill="1" applyBorder="1" applyAlignment="1">
      <alignment wrapText="1"/>
    </xf>
    <xf numFmtId="4" fontId="14" fillId="9" borderId="16" xfId="12" applyNumberFormat="1" applyFont="1" applyFill="1" applyBorder="1" applyAlignment="1">
      <alignment horizontal="right" wrapText="1"/>
    </xf>
    <xf numFmtId="0" fontId="14" fillId="9" borderId="16" xfId="12" applyFont="1" applyFill="1" applyBorder="1" applyAlignment="1">
      <alignment horizontal="right" wrapText="1"/>
    </xf>
    <xf numFmtId="0" fontId="9" fillId="9" borderId="0" xfId="12" applyFill="1"/>
    <xf numFmtId="0" fontId="14" fillId="4" borderId="16" xfId="12" applyFont="1" applyFill="1" applyBorder="1" applyAlignment="1">
      <alignment wrapText="1"/>
    </xf>
    <xf numFmtId="4" fontId="14" fillId="4" borderId="16" xfId="12" applyNumberFormat="1" applyFont="1" applyFill="1" applyBorder="1" applyAlignment="1">
      <alignment horizontal="right" wrapText="1"/>
    </xf>
    <xf numFmtId="0" fontId="14" fillId="4" borderId="16" xfId="12" applyFont="1" applyFill="1" applyBorder="1" applyAlignment="1">
      <alignment horizontal="right" wrapText="1"/>
    </xf>
    <xf numFmtId="0" fontId="9" fillId="4" borderId="0" xfId="12" applyFill="1"/>
    <xf numFmtId="0" fontId="14" fillId="7" borderId="16" xfId="12" applyFont="1" applyFill="1" applyBorder="1" applyAlignment="1">
      <alignment wrapText="1"/>
    </xf>
    <xf numFmtId="4" fontId="14" fillId="7" borderId="16" xfId="12" applyNumberFormat="1" applyFont="1" applyFill="1" applyBorder="1" applyAlignment="1">
      <alignment horizontal="right" wrapText="1"/>
    </xf>
    <xf numFmtId="0" fontId="14" fillId="7" borderId="16" xfId="12" applyFont="1" applyFill="1" applyBorder="1" applyAlignment="1">
      <alignment horizontal="right" wrapText="1"/>
    </xf>
    <xf numFmtId="0" fontId="9" fillId="7" borderId="0" xfId="12" applyFill="1"/>
    <xf numFmtId="0" fontId="14" fillId="14" borderId="16" xfId="12" applyFont="1" applyFill="1" applyBorder="1" applyAlignment="1">
      <alignment wrapText="1"/>
    </xf>
    <xf numFmtId="4" fontId="14" fillId="14" borderId="16" xfId="12" applyNumberFormat="1" applyFont="1" applyFill="1" applyBorder="1" applyAlignment="1">
      <alignment horizontal="right" wrapText="1"/>
    </xf>
    <xf numFmtId="0" fontId="14" fillId="14" borderId="16" xfId="12" applyFont="1" applyFill="1" applyBorder="1" applyAlignment="1">
      <alignment horizontal="right" wrapText="1"/>
    </xf>
    <xf numFmtId="0" fontId="9" fillId="14" borderId="0" xfId="12" applyFill="1"/>
    <xf numFmtId="44" fontId="9" fillId="0" borderId="0" xfId="12" applyNumberFormat="1"/>
    <xf numFmtId="0" fontId="17" fillId="0" borderId="0" xfId="4" applyFont="1" applyAlignment="1">
      <alignment horizontal="center" vertical="center" wrapText="1"/>
    </xf>
    <xf numFmtId="0" fontId="18" fillId="0" borderId="0" xfId="4" applyFont="1" applyAlignment="1">
      <alignment horizontal="center" vertical="center"/>
    </xf>
    <xf numFmtId="0" fontId="18" fillId="0" borderId="0" xfId="4" applyFont="1"/>
    <xf numFmtId="171" fontId="18" fillId="0" borderId="0" xfId="4" applyNumberFormat="1" applyFont="1" applyAlignment="1">
      <alignment horizontal="center" vertical="center"/>
    </xf>
    <xf numFmtId="0" fontId="19" fillId="0" borderId="18" xfId="4" applyFont="1" applyBorder="1" applyAlignment="1">
      <alignment horizontal="center" vertical="center" wrapText="1"/>
    </xf>
    <xf numFmtId="0" fontId="19" fillId="0" borderId="19" xfId="4" applyFont="1" applyBorder="1" applyAlignment="1">
      <alignment horizontal="center" vertical="center" wrapText="1"/>
    </xf>
    <xf numFmtId="0" fontId="19" fillId="0" borderId="0" xfId="4" applyFont="1" applyAlignment="1">
      <alignment horizontal="center" vertical="center" wrapText="1"/>
    </xf>
    <xf numFmtId="0" fontId="20" fillId="0" borderId="20" xfId="4" applyFont="1" applyBorder="1" applyAlignment="1">
      <alignment horizontal="center" vertical="center" wrapText="1"/>
    </xf>
    <xf numFmtId="164" fontId="20" fillId="0" borderId="21" xfId="4" applyNumberFormat="1" applyFont="1" applyBorder="1" applyAlignment="1">
      <alignment horizontal="center" vertical="center" wrapText="1"/>
    </xf>
    <xf numFmtId="0" fontId="19" fillId="3" borderId="4" xfId="4" applyFont="1" applyFill="1" applyBorder="1" applyAlignment="1">
      <alignment horizontal="center" vertical="center" wrapText="1"/>
    </xf>
    <xf numFmtId="0" fontId="20" fillId="3" borderId="4" xfId="4" applyFont="1" applyFill="1" applyBorder="1" applyAlignment="1">
      <alignment horizontal="center" vertical="center" wrapText="1"/>
    </xf>
    <xf numFmtId="0" fontId="18" fillId="15" borderId="4" xfId="4" applyFont="1" applyFill="1" applyBorder="1" applyAlignment="1">
      <alignment horizontal="center" vertical="center" wrapText="1"/>
    </xf>
    <xf numFmtId="164" fontId="18" fillId="15" borderId="4" xfId="4" applyNumberFormat="1" applyFont="1" applyFill="1" applyBorder="1" applyAlignment="1">
      <alignment horizontal="center" vertical="center"/>
    </xf>
    <xf numFmtId="0" fontId="22" fillId="15" borderId="7" xfId="4" applyFont="1" applyFill="1" applyBorder="1" applyAlignment="1">
      <alignment horizontal="justify" vertical="center" wrapText="1"/>
    </xf>
    <xf numFmtId="3" fontId="23" fillId="15" borderId="30" xfId="4" applyNumberFormat="1" applyFont="1" applyFill="1" applyBorder="1" applyAlignment="1">
      <alignment horizontal="center" vertical="center"/>
    </xf>
    <xf numFmtId="3" fontId="23" fillId="15" borderId="9" xfId="4" applyNumberFormat="1" applyFont="1" applyFill="1" applyBorder="1" applyAlignment="1">
      <alignment horizontal="center" vertical="center"/>
    </xf>
    <xf numFmtId="3" fontId="23" fillId="15" borderId="4" xfId="4" applyNumberFormat="1" applyFont="1" applyFill="1" applyBorder="1" applyAlignment="1">
      <alignment horizontal="center" vertical="center"/>
    </xf>
    <xf numFmtId="9" fontId="24" fillId="15" borderId="4" xfId="4" applyNumberFormat="1" applyFont="1" applyFill="1" applyBorder="1" applyAlignment="1">
      <alignment horizontal="center" vertical="center"/>
    </xf>
    <xf numFmtId="9" fontId="23" fillId="15" borderId="4" xfId="4" applyNumberFormat="1" applyFont="1" applyFill="1" applyBorder="1" applyAlignment="1">
      <alignment horizontal="center" vertical="center"/>
    </xf>
    <xf numFmtId="9" fontId="25" fillId="14" borderId="4" xfId="4" applyNumberFormat="1" applyFont="1" applyFill="1" applyBorder="1" applyAlignment="1">
      <alignment horizontal="center" vertical="center"/>
    </xf>
    <xf numFmtId="171" fontId="23" fillId="3" borderId="4" xfId="10" applyNumberFormat="1" applyFont="1" applyFill="1" applyBorder="1" applyAlignment="1">
      <alignment horizontal="center" vertical="center"/>
    </xf>
    <xf numFmtId="9" fontId="23" fillId="3" borderId="4" xfId="4" applyNumberFormat="1" applyFont="1" applyFill="1" applyBorder="1" applyAlignment="1">
      <alignment horizontal="center" vertical="center"/>
    </xf>
    <xf numFmtId="9" fontId="23" fillId="3" borderId="4" xfId="7" applyFont="1" applyFill="1" applyBorder="1" applyAlignment="1">
      <alignment horizontal="center" vertical="center"/>
    </xf>
    <xf numFmtId="9" fontId="25" fillId="3" borderId="4" xfId="4" applyNumberFormat="1" applyFont="1" applyFill="1" applyBorder="1" applyAlignment="1">
      <alignment horizontal="center" vertical="center"/>
    </xf>
    <xf numFmtId="9" fontId="25" fillId="16" borderId="4" xfId="4" applyNumberFormat="1" applyFont="1" applyFill="1" applyBorder="1" applyAlignment="1">
      <alignment horizontal="center" vertical="center"/>
    </xf>
    <xf numFmtId="171" fontId="23" fillId="15" borderId="4" xfId="10" applyNumberFormat="1" applyFont="1" applyFill="1" applyBorder="1" applyAlignment="1">
      <alignment horizontal="center" vertical="center"/>
    </xf>
    <xf numFmtId="9" fontId="23" fillId="3" borderId="7" xfId="7" applyFont="1" applyFill="1" applyBorder="1" applyAlignment="1">
      <alignment horizontal="center" vertical="center"/>
    </xf>
    <xf numFmtId="171" fontId="23" fillId="15" borderId="31" xfId="10" applyNumberFormat="1" applyFont="1" applyFill="1" applyBorder="1" applyAlignment="1">
      <alignment horizontal="center" vertical="center"/>
    </xf>
    <xf numFmtId="9" fontId="23" fillId="15" borderId="9" xfId="7" applyFont="1" applyFill="1" applyBorder="1" applyAlignment="1">
      <alignment horizontal="center" vertical="center"/>
    </xf>
    <xf numFmtId="0" fontId="18" fillId="0" borderId="0" xfId="4" applyFont="1" applyAlignment="1">
      <alignment wrapText="1"/>
    </xf>
    <xf numFmtId="2" fontId="26" fillId="0" borderId="0" xfId="7" applyNumberFormat="1" applyFont="1"/>
    <xf numFmtId="9" fontId="18" fillId="0" borderId="0" xfId="7" applyFont="1"/>
    <xf numFmtId="9" fontId="23" fillId="15" borderId="30" xfId="4" applyNumberFormat="1" applyFont="1" applyFill="1" applyBorder="1" applyAlignment="1">
      <alignment horizontal="center" vertical="center"/>
    </xf>
    <xf numFmtId="9" fontId="23" fillId="15" borderId="9" xfId="4" applyNumberFormat="1" applyFont="1" applyFill="1" applyBorder="1" applyAlignment="1">
      <alignment horizontal="center" vertical="center"/>
    </xf>
    <xf numFmtId="9" fontId="25" fillId="17" borderId="4" xfId="4" applyNumberFormat="1" applyFont="1" applyFill="1" applyBorder="1" applyAlignment="1">
      <alignment horizontal="center" vertical="center"/>
    </xf>
    <xf numFmtId="9" fontId="23" fillId="15" borderId="4" xfId="7" applyFont="1" applyFill="1" applyBorder="1" applyAlignment="1">
      <alignment horizontal="center" vertical="center"/>
    </xf>
    <xf numFmtId="9" fontId="23" fillId="15" borderId="31" xfId="7" applyFont="1" applyFill="1" applyBorder="1" applyAlignment="1">
      <alignment horizontal="center" vertical="center"/>
    </xf>
    <xf numFmtId="9" fontId="23" fillId="16" borderId="4" xfId="7" applyFont="1" applyFill="1" applyBorder="1" applyAlignment="1">
      <alignment horizontal="center" vertical="center"/>
    </xf>
    <xf numFmtId="0" fontId="18" fillId="0" borderId="0" xfId="4" applyFont="1" applyAlignment="1">
      <alignment vertical="center" wrapText="1"/>
    </xf>
    <xf numFmtId="0" fontId="23" fillId="0" borderId="0" xfId="4" applyFont="1"/>
    <xf numFmtId="1" fontId="26" fillId="0" borderId="0" xfId="7" applyNumberFormat="1" applyFont="1"/>
    <xf numFmtId="9" fontId="23" fillId="14" borderId="4" xfId="7" applyFont="1" applyFill="1" applyBorder="1" applyAlignment="1">
      <alignment horizontal="center" vertical="center"/>
    </xf>
    <xf numFmtId="0" fontId="18" fillId="18" borderId="35" xfId="4" applyFont="1" applyFill="1" applyBorder="1" applyAlignment="1">
      <alignment horizontal="center" vertical="center" wrapText="1"/>
    </xf>
    <xf numFmtId="0" fontId="18" fillId="15" borderId="7" xfId="4" applyFont="1" applyFill="1" applyBorder="1"/>
    <xf numFmtId="170" fontId="23" fillId="3" borderId="7" xfId="10" applyFont="1" applyFill="1" applyBorder="1" applyAlignment="1">
      <alignment horizontal="center" vertical="center"/>
    </xf>
    <xf numFmtId="171" fontId="27" fillId="0" borderId="0" xfId="4" applyNumberFormat="1" applyFont="1"/>
    <xf numFmtId="0" fontId="18" fillId="19" borderId="35" xfId="4" applyFont="1" applyFill="1" applyBorder="1" applyAlignment="1">
      <alignment horizontal="center" vertical="center" wrapText="1"/>
    </xf>
    <xf numFmtId="0" fontId="18" fillId="19" borderId="36" xfId="4" applyFont="1" applyFill="1" applyBorder="1" applyAlignment="1">
      <alignment horizontal="center" vertical="center" wrapText="1"/>
    </xf>
    <xf numFmtId="0" fontId="18" fillId="0" borderId="35" xfId="4" applyFont="1" applyBorder="1" applyAlignment="1">
      <alignment horizontal="center" vertical="center" wrapText="1"/>
    </xf>
    <xf numFmtId="9" fontId="23" fillId="15" borderId="37" xfId="4" applyNumberFormat="1" applyFont="1" applyFill="1" applyBorder="1" applyAlignment="1">
      <alignment horizontal="center" vertical="center"/>
    </xf>
    <xf numFmtId="9" fontId="23" fillId="3" borderId="7" xfId="10" applyNumberFormat="1" applyFont="1" applyFill="1" applyBorder="1" applyAlignment="1">
      <alignment horizontal="center" vertical="center"/>
    </xf>
    <xf numFmtId="0" fontId="18" fillId="0" borderId="4" xfId="4" applyFont="1" applyBorder="1"/>
    <xf numFmtId="164" fontId="18" fillId="0" borderId="4" xfId="4" applyNumberFormat="1" applyFont="1" applyBorder="1" applyAlignment="1">
      <alignment horizontal="center" vertical="center"/>
    </xf>
    <xf numFmtId="3" fontId="18" fillId="0" borderId="11" xfId="4" applyNumberFormat="1" applyFont="1" applyBorder="1" applyAlignment="1">
      <alignment horizontal="center" vertical="center"/>
    </xf>
    <xf numFmtId="3" fontId="18" fillId="0" borderId="4" xfId="4" applyNumberFormat="1" applyFont="1" applyBorder="1" applyAlignment="1">
      <alignment horizontal="center" vertical="center"/>
    </xf>
    <xf numFmtId="9" fontId="18" fillId="0" borderId="4" xfId="4" applyNumberFormat="1" applyFont="1" applyBorder="1" applyAlignment="1">
      <alignment horizontal="center" vertical="center"/>
    </xf>
    <xf numFmtId="9" fontId="28" fillId="16" borderId="4" xfId="4" applyNumberFormat="1" applyFont="1" applyFill="1" applyBorder="1" applyAlignment="1">
      <alignment horizontal="center" vertical="center"/>
    </xf>
    <xf numFmtId="170" fontId="28" fillId="16" borderId="4" xfId="10" applyFont="1" applyFill="1" applyBorder="1" applyAlignment="1">
      <alignment horizontal="center" vertical="center"/>
    </xf>
    <xf numFmtId="171" fontId="28" fillId="16" borderId="4" xfId="10" applyNumberFormat="1" applyFont="1" applyFill="1" applyBorder="1" applyAlignment="1">
      <alignment horizontal="center" vertical="center"/>
    </xf>
    <xf numFmtId="170" fontId="28" fillId="16" borderId="11" xfId="10" applyFont="1" applyFill="1" applyBorder="1" applyAlignment="1">
      <alignment horizontal="center" vertical="center"/>
    </xf>
    <xf numFmtId="9" fontId="28" fillId="16" borderId="4" xfId="7" applyFont="1" applyFill="1" applyBorder="1" applyAlignment="1">
      <alignment horizontal="center" vertical="center"/>
    </xf>
    <xf numFmtId="171" fontId="28" fillId="16" borderId="13" xfId="10" applyNumberFormat="1" applyFont="1" applyFill="1" applyBorder="1" applyAlignment="1">
      <alignment horizontal="center" vertical="center"/>
    </xf>
    <xf numFmtId="164" fontId="18" fillId="0" borderId="0" xfId="4" applyNumberFormat="1" applyFont="1" applyAlignment="1">
      <alignment horizontal="center" vertical="center"/>
    </xf>
    <xf numFmtId="3" fontId="18" fillId="0" borderId="0" xfId="4" applyNumberFormat="1" applyFont="1" applyAlignment="1">
      <alignment horizontal="center" vertical="center"/>
    </xf>
    <xf numFmtId="9" fontId="18" fillId="0" borderId="0" xfId="4" applyNumberFormat="1" applyFont="1" applyAlignment="1">
      <alignment horizontal="center" vertical="center"/>
    </xf>
    <xf numFmtId="170" fontId="18" fillId="0" borderId="0" xfId="10" applyFont="1" applyFill="1" applyAlignment="1">
      <alignment horizontal="center" vertical="center"/>
    </xf>
    <xf numFmtId="166" fontId="3" fillId="0" borderId="4" xfId="0" applyNumberFormat="1" applyFont="1" applyBorder="1" applyAlignment="1">
      <alignment horizontal="right" vertical="center" wrapText="1"/>
    </xf>
    <xf numFmtId="44" fontId="0" fillId="0" borderId="0" xfId="0" applyNumberFormat="1"/>
    <xf numFmtId="166" fontId="3" fillId="0" borderId="4" xfId="3" applyNumberFormat="1" applyFont="1" applyFill="1" applyBorder="1" applyAlignment="1">
      <alignment horizontal="right" vertical="center" wrapText="1"/>
    </xf>
    <xf numFmtId="169" fontId="4" fillId="0" borderId="11" xfId="4" applyNumberFormat="1" applyBorder="1" applyAlignment="1">
      <alignment horizontal="center"/>
    </xf>
    <xf numFmtId="42" fontId="5" fillId="3" borderId="4" xfId="18" applyFont="1" applyFill="1" applyBorder="1" applyAlignment="1">
      <alignment horizontal="center" vertical="center"/>
    </xf>
    <xf numFmtId="42" fontId="4" fillId="0" borderId="0" xfId="18" applyFont="1"/>
    <xf numFmtId="0" fontId="4" fillId="0" borderId="11" xfId="4" applyBorder="1" applyAlignment="1">
      <alignment horizontal="center"/>
    </xf>
    <xf numFmtId="42" fontId="4" fillId="0" borderId="4" xfId="18" applyFont="1" applyBorder="1"/>
    <xf numFmtId="167" fontId="0" fillId="0" borderId="0" xfId="3" applyNumberFormat="1" applyFont="1" applyFill="1" applyBorder="1" applyAlignment="1">
      <alignment horizontal="center" vertical="center"/>
    </xf>
    <xf numFmtId="168" fontId="0" fillId="0" borderId="0" xfId="8" applyFont="1" applyBorder="1"/>
    <xf numFmtId="167" fontId="0" fillId="0" borderId="0" xfId="3" applyNumberFormat="1" applyFont="1" applyBorder="1" applyAlignment="1">
      <alignment horizontal="center" vertical="center"/>
    </xf>
    <xf numFmtId="0" fontId="8" fillId="2" borderId="0" xfId="9" applyFill="1" applyBorder="1" applyAlignment="1" applyProtection="1"/>
    <xf numFmtId="0" fontId="8" fillId="0" borderId="0" xfId="9" applyBorder="1"/>
    <xf numFmtId="42" fontId="0" fillId="0" borderId="4" xfId="18" applyFont="1" applyBorder="1" applyAlignment="1"/>
    <xf numFmtId="42" fontId="0" fillId="0" borderId="4" xfId="18" applyFont="1" applyBorder="1"/>
    <xf numFmtId="42" fontId="0" fillId="0" borderId="0" xfId="18" applyFont="1" applyBorder="1"/>
    <xf numFmtId="42" fontId="0" fillId="0" borderId="0" xfId="18" applyFont="1" applyBorder="1" applyAlignment="1">
      <alignment horizontal="center" vertical="center"/>
    </xf>
    <xf numFmtId="42" fontId="0" fillId="0" borderId="0" xfId="18" applyFont="1" applyFill="1" applyBorder="1" applyAlignment="1">
      <alignment horizontal="center" vertical="center"/>
    </xf>
    <xf numFmtId="42" fontId="4" fillId="0" borderId="0" xfId="18" applyFont="1" applyBorder="1"/>
    <xf numFmtId="0" fontId="16" fillId="0" borderId="16" xfId="0" applyFont="1" applyBorder="1" applyAlignment="1">
      <alignment horizontal="center" vertical="center" wrapText="1"/>
    </xf>
    <xf numFmtId="0" fontId="14" fillId="12" borderId="16" xfId="0" applyFont="1" applyFill="1" applyBorder="1" applyAlignment="1">
      <alignment wrapText="1"/>
    </xf>
    <xf numFmtId="4" fontId="14" fillId="12" borderId="16" xfId="0" applyNumberFormat="1" applyFont="1" applyFill="1" applyBorder="1" applyAlignment="1">
      <alignment horizontal="right" wrapText="1"/>
    </xf>
    <xf numFmtId="0" fontId="14" fillId="12" borderId="16" xfId="0" applyFont="1" applyFill="1" applyBorder="1" applyAlignment="1">
      <alignment horizontal="right" wrapText="1"/>
    </xf>
    <xf numFmtId="0" fontId="14" fillId="10" borderId="16" xfId="0" applyFont="1" applyFill="1" applyBorder="1" applyAlignment="1">
      <alignment wrapText="1"/>
    </xf>
    <xf numFmtId="4" fontId="14" fillId="10" borderId="16" xfId="0" applyNumberFormat="1" applyFont="1" applyFill="1" applyBorder="1" applyAlignment="1">
      <alignment horizontal="right" wrapText="1"/>
    </xf>
    <xf numFmtId="0" fontId="14" fillId="10" borderId="16" xfId="0" applyFont="1" applyFill="1" applyBorder="1" applyAlignment="1">
      <alignment horizontal="right" wrapText="1"/>
    </xf>
    <xf numFmtId="0" fontId="0" fillId="10" borderId="0" xfId="0" applyFill="1"/>
    <xf numFmtId="0" fontId="14" fillId="7" borderId="16" xfId="0" applyFont="1" applyFill="1" applyBorder="1" applyAlignment="1">
      <alignment wrapText="1"/>
    </xf>
    <xf numFmtId="4" fontId="14" fillId="7" borderId="16" xfId="0" applyNumberFormat="1" applyFont="1" applyFill="1" applyBorder="1" applyAlignment="1">
      <alignment horizontal="right" wrapText="1"/>
    </xf>
    <xf numFmtId="0" fontId="14" fillId="7" borderId="16" xfId="0" applyFont="1" applyFill="1" applyBorder="1" applyAlignment="1">
      <alignment horizontal="right" wrapText="1"/>
    </xf>
    <xf numFmtId="0" fontId="0" fillId="7" borderId="0" xfId="0" applyFill="1"/>
    <xf numFmtId="0" fontId="14" fillId="20" borderId="16" xfId="0" applyFont="1" applyFill="1" applyBorder="1" applyAlignment="1">
      <alignment wrapText="1"/>
    </xf>
    <xf numFmtId="4" fontId="14" fillId="20" borderId="16" xfId="0" applyNumberFormat="1" applyFont="1" applyFill="1" applyBorder="1" applyAlignment="1">
      <alignment horizontal="right" wrapText="1"/>
    </xf>
    <xf numFmtId="0" fontId="14" fillId="20" borderId="16" xfId="0" applyFont="1" applyFill="1" applyBorder="1" applyAlignment="1">
      <alignment horizontal="right" wrapText="1"/>
    </xf>
    <xf numFmtId="0" fontId="0" fillId="20" borderId="0" xfId="0" applyFill="1"/>
    <xf numFmtId="0" fontId="14" fillId="9" borderId="16" xfId="0" applyFont="1" applyFill="1" applyBorder="1" applyAlignment="1">
      <alignment wrapText="1"/>
    </xf>
    <xf numFmtId="4" fontId="14" fillId="9" borderId="16" xfId="0" applyNumberFormat="1" applyFont="1" applyFill="1" applyBorder="1" applyAlignment="1">
      <alignment horizontal="right" wrapText="1"/>
    </xf>
    <xf numFmtId="0" fontId="14" fillId="9" borderId="16" xfId="0" applyFont="1" applyFill="1" applyBorder="1" applyAlignment="1">
      <alignment horizontal="right" wrapText="1"/>
    </xf>
    <xf numFmtId="0" fontId="0" fillId="9" borderId="0" xfId="0" applyFill="1"/>
    <xf numFmtId="0" fontId="14" fillId="14" borderId="16" xfId="0" applyFont="1" applyFill="1" applyBorder="1" applyAlignment="1">
      <alignment wrapText="1"/>
    </xf>
    <xf numFmtId="4" fontId="14" fillId="14" borderId="16" xfId="0" applyNumberFormat="1" applyFont="1" applyFill="1" applyBorder="1" applyAlignment="1">
      <alignment horizontal="right" wrapText="1"/>
    </xf>
    <xf numFmtId="0" fontId="14" fillId="14" borderId="16" xfId="0" applyFont="1" applyFill="1" applyBorder="1" applyAlignment="1">
      <alignment horizontal="right" wrapText="1"/>
    </xf>
    <xf numFmtId="0" fontId="0" fillId="14" borderId="0" xfId="0" applyFill="1"/>
    <xf numFmtId="0" fontId="14" fillId="21" borderId="16" xfId="0" applyFont="1" applyFill="1" applyBorder="1" applyAlignment="1">
      <alignment wrapText="1"/>
    </xf>
    <xf numFmtId="4" fontId="14" fillId="21" borderId="16" xfId="0" applyNumberFormat="1" applyFont="1" applyFill="1" applyBorder="1" applyAlignment="1">
      <alignment horizontal="right" wrapText="1"/>
    </xf>
    <xf numFmtId="0" fontId="14" fillId="21" borderId="16" xfId="0" applyFont="1" applyFill="1" applyBorder="1" applyAlignment="1">
      <alignment horizontal="right" wrapText="1"/>
    </xf>
    <xf numFmtId="0" fontId="0" fillId="21" borderId="0" xfId="0" applyFill="1"/>
    <xf numFmtId="167" fontId="4" fillId="0" borderId="0" xfId="19" applyNumberFormat="1" applyFont="1" applyAlignment="1">
      <alignment vertical="center"/>
    </xf>
    <xf numFmtId="167" fontId="0" fillId="17" borderId="0" xfId="3" applyNumberFormat="1" applyFont="1" applyFill="1" applyAlignment="1">
      <alignment horizontal="justify" vertical="center"/>
    </xf>
    <xf numFmtId="0" fontId="3" fillId="0" borderId="10" xfId="4" applyFont="1" applyBorder="1" applyAlignment="1">
      <alignment horizontal="center" vertical="center" wrapText="1"/>
    </xf>
    <xf numFmtId="0" fontId="3" fillId="0" borderId="11" xfId="4" applyFont="1" applyBorder="1" applyAlignment="1">
      <alignment horizontal="center" vertical="center" wrapText="1"/>
    </xf>
    <xf numFmtId="3" fontId="3" fillId="0" borderId="10" xfId="4" applyNumberFormat="1" applyFont="1" applyBorder="1" applyAlignment="1">
      <alignment horizontal="center" vertical="center" wrapText="1"/>
    </xf>
    <xf numFmtId="3" fontId="3" fillId="0" borderId="11" xfId="4" applyNumberFormat="1" applyFont="1" applyBorder="1" applyAlignment="1">
      <alignment horizontal="center" vertical="center" wrapText="1"/>
    </xf>
    <xf numFmtId="3" fontId="4" fillId="3" borderId="10" xfId="4" applyNumberFormat="1" applyFill="1" applyBorder="1" applyAlignment="1">
      <alignment horizontal="center" vertical="center" wrapText="1"/>
    </xf>
    <xf numFmtId="3" fontId="4" fillId="3" borderId="11" xfId="4" applyNumberFormat="1" applyFill="1" applyBorder="1" applyAlignment="1">
      <alignment horizontal="center" vertical="center" wrapText="1"/>
    </xf>
    <xf numFmtId="2" fontId="4" fillId="0" borderId="10" xfId="6" applyNumberFormat="1" applyFont="1" applyFill="1" applyBorder="1" applyAlignment="1">
      <alignment horizontal="center" vertical="center"/>
    </xf>
    <xf numFmtId="2" fontId="4" fillId="0" borderId="11" xfId="6" applyNumberFormat="1" applyFont="1" applyFill="1" applyBorder="1" applyAlignment="1">
      <alignment horizontal="center" vertical="center"/>
    </xf>
    <xf numFmtId="165" fontId="4" fillId="0" borderId="10" xfId="4" applyNumberFormat="1" applyBorder="1" applyAlignment="1">
      <alignment horizontal="center" vertical="center"/>
    </xf>
    <xf numFmtId="165" fontId="4" fillId="0" borderId="11" xfId="4" applyNumberFormat="1" applyBorder="1" applyAlignment="1">
      <alignment horizontal="center" vertical="center"/>
    </xf>
    <xf numFmtId="166" fontId="2" fillId="3" borderId="10" xfId="3" applyNumberFormat="1" applyFont="1" applyFill="1" applyBorder="1" applyAlignment="1">
      <alignment horizontal="right" vertical="center" wrapText="1" indent="1"/>
    </xf>
    <xf numFmtId="166" fontId="2" fillId="3" borderId="11" xfId="3" applyNumberFormat="1" applyFont="1" applyFill="1" applyBorder="1" applyAlignment="1">
      <alignment horizontal="right" vertical="center" wrapText="1" indent="1"/>
    </xf>
    <xf numFmtId="165" fontId="3" fillId="0" borderId="10" xfId="7" applyNumberFormat="1" applyFont="1" applyFill="1" applyBorder="1" applyAlignment="1">
      <alignment horizontal="center" vertical="center" wrapText="1"/>
    </xf>
    <xf numFmtId="165" fontId="3" fillId="0" borderId="11" xfId="7" applyNumberFormat="1" applyFont="1" applyFill="1" applyBorder="1" applyAlignment="1">
      <alignment horizontal="center" vertical="center" wrapText="1"/>
    </xf>
    <xf numFmtId="166" fontId="3" fillId="0" borderId="10" xfId="4" applyNumberFormat="1" applyFont="1" applyBorder="1" applyAlignment="1">
      <alignment horizontal="center" vertical="center" wrapText="1"/>
    </xf>
    <xf numFmtId="166" fontId="3" fillId="0" borderId="11" xfId="4" applyNumberFormat="1" applyFont="1" applyBorder="1" applyAlignment="1">
      <alignment horizontal="center" vertical="center" wrapText="1"/>
    </xf>
    <xf numFmtId="0" fontId="5" fillId="0" borderId="10" xfId="4" applyFont="1" applyBorder="1" applyAlignment="1">
      <alignment horizontal="center" vertical="center"/>
    </xf>
    <xf numFmtId="0" fontId="5" fillId="0" borderId="11" xfId="4" applyFont="1" applyBorder="1" applyAlignment="1">
      <alignment horizontal="center" vertical="center"/>
    </xf>
    <xf numFmtId="0" fontId="2" fillId="3" borderId="7" xfId="4" applyFont="1" applyFill="1" applyBorder="1" applyAlignment="1">
      <alignment horizontal="center" vertical="center" wrapText="1"/>
    </xf>
    <xf numFmtId="0" fontId="2" fillId="3" borderId="9" xfId="4" applyFont="1" applyFill="1" applyBorder="1" applyAlignment="1">
      <alignment horizontal="center" vertical="center" wrapText="1"/>
    </xf>
    <xf numFmtId="0" fontId="5" fillId="0" borderId="10" xfId="4" applyFont="1" applyBorder="1" applyAlignment="1">
      <alignment horizontal="left" vertical="center"/>
    </xf>
    <xf numFmtId="14" fontId="5" fillId="0" borderId="4" xfId="4" applyNumberFormat="1" applyFont="1" applyBorder="1" applyAlignment="1">
      <alignment horizontal="center" vertical="top"/>
    </xf>
    <xf numFmtId="14" fontId="5" fillId="0" borderId="10" xfId="4" applyNumberFormat="1" applyFont="1" applyBorder="1" applyAlignment="1">
      <alignment horizontal="center" vertical="top"/>
    </xf>
    <xf numFmtId="0" fontId="2" fillId="3" borderId="4" xfId="4" applyFont="1" applyFill="1" applyBorder="1" applyAlignment="1">
      <alignment horizontal="center" vertical="center"/>
    </xf>
    <xf numFmtId="0" fontId="2" fillId="3" borderId="7" xfId="4" applyFont="1" applyFill="1" applyBorder="1" applyAlignment="1">
      <alignment horizontal="center" vertical="center"/>
    </xf>
    <xf numFmtId="0" fontId="2" fillId="3" borderId="8" xfId="4" applyFont="1" applyFill="1" applyBorder="1" applyAlignment="1">
      <alignment horizontal="center" vertical="center"/>
    </xf>
    <xf numFmtId="0" fontId="2" fillId="3" borderId="9" xfId="4" applyFont="1" applyFill="1" applyBorder="1" applyAlignment="1">
      <alignment horizontal="center" vertical="center"/>
    </xf>
    <xf numFmtId="0" fontId="2" fillId="3" borderId="10" xfId="4" applyFont="1" applyFill="1" applyBorder="1" applyAlignment="1">
      <alignment horizontal="center" vertical="center" wrapText="1"/>
    </xf>
    <xf numFmtId="0" fontId="2" fillId="3" borderId="11" xfId="4" applyFont="1" applyFill="1" applyBorder="1" applyAlignment="1">
      <alignment horizontal="center" vertical="center" wrapText="1"/>
    </xf>
    <xf numFmtId="0" fontId="5" fillId="0" borderId="4" xfId="4" applyFont="1" applyBorder="1" applyAlignment="1">
      <alignment horizontal="left" vertical="center"/>
    </xf>
    <xf numFmtId="14" fontId="4" fillId="0" borderId="4" xfId="4" applyNumberFormat="1" applyBorder="1" applyAlignment="1">
      <alignment horizontal="center" vertical="top"/>
    </xf>
    <xf numFmtId="2" fontId="2" fillId="0" borderId="1" xfId="1" applyNumberFormat="1" applyFont="1" applyBorder="1" applyAlignment="1">
      <alignment horizontal="center" vertical="center" wrapText="1"/>
    </xf>
    <xf numFmtId="2" fontId="2" fillId="0" borderId="2" xfId="1" applyNumberFormat="1" applyFont="1" applyBorder="1" applyAlignment="1">
      <alignment horizontal="center" vertical="center" wrapText="1"/>
    </xf>
    <xf numFmtId="2" fontId="2" fillId="0" borderId="3" xfId="1" applyNumberFormat="1" applyFont="1" applyBorder="1" applyAlignment="1">
      <alignment horizontal="center" vertical="center" wrapText="1"/>
    </xf>
    <xf numFmtId="2" fontId="2" fillId="0" borderId="5" xfId="1" applyNumberFormat="1" applyFont="1" applyBorder="1" applyAlignment="1">
      <alignment horizontal="center" vertical="center" wrapText="1"/>
    </xf>
    <xf numFmtId="2" fontId="2" fillId="0" borderId="0" xfId="1" applyNumberFormat="1" applyFont="1" applyAlignment="1">
      <alignment horizontal="center" vertical="center" wrapText="1"/>
    </xf>
    <xf numFmtId="2" fontId="2" fillId="0" borderId="6" xfId="1" applyNumberFormat="1" applyFont="1" applyBorder="1" applyAlignment="1">
      <alignment horizontal="center" vertical="center" wrapText="1"/>
    </xf>
    <xf numFmtId="2" fontId="2" fillId="0" borderId="4" xfId="1" applyNumberFormat="1" applyFont="1" applyBorder="1" applyAlignment="1">
      <alignment horizontal="left" vertical="center" wrapText="1"/>
    </xf>
    <xf numFmtId="2" fontId="2" fillId="0" borderId="7" xfId="2" applyNumberFormat="1" applyFont="1" applyBorder="1" applyAlignment="1">
      <alignment horizontal="left" vertical="center" wrapText="1"/>
    </xf>
    <xf numFmtId="2" fontId="2" fillId="0" borderId="8" xfId="2" applyNumberFormat="1" applyFont="1" applyBorder="1" applyAlignment="1">
      <alignment horizontal="left" vertical="center" wrapText="1"/>
    </xf>
    <xf numFmtId="2" fontId="2" fillId="0" borderId="9" xfId="2" applyNumberFormat="1" applyFont="1" applyBorder="1" applyAlignment="1">
      <alignment horizontal="left" vertical="center" wrapText="1"/>
    </xf>
    <xf numFmtId="2" fontId="2" fillId="0" borderId="4" xfId="2" applyNumberFormat="1" applyFont="1" applyBorder="1" applyAlignment="1">
      <alignment horizontal="left" vertical="center" wrapText="1"/>
    </xf>
    <xf numFmtId="0" fontId="15" fillId="0" borderId="0" xfId="0" applyFont="1" applyAlignment="1">
      <alignment wrapText="1"/>
    </xf>
    <xf numFmtId="0" fontId="14" fillId="0" borderId="0" xfId="0" applyFont="1" applyAlignment="1">
      <alignment horizontal="left" wrapText="1"/>
    </xf>
    <xf numFmtId="0" fontId="5" fillId="5" borderId="12" xfId="4" applyFont="1" applyFill="1" applyBorder="1" applyAlignment="1">
      <alignment horizontal="center"/>
    </xf>
    <xf numFmtId="0" fontId="5" fillId="5" borderId="13" xfId="4" applyFont="1" applyFill="1" applyBorder="1" applyAlignment="1">
      <alignment horizontal="center"/>
    </xf>
    <xf numFmtId="0" fontId="4" fillId="3" borderId="10" xfId="4" applyFill="1" applyBorder="1" applyAlignment="1">
      <alignment horizontal="center" vertical="center"/>
    </xf>
    <xf numFmtId="0" fontId="4" fillId="3" borderId="14" xfId="4" applyFill="1" applyBorder="1" applyAlignment="1">
      <alignment horizontal="center" vertical="center"/>
    </xf>
    <xf numFmtId="0" fontId="4" fillId="3" borderId="11" xfId="4" applyFill="1" applyBorder="1" applyAlignment="1">
      <alignment horizontal="center" vertical="center"/>
    </xf>
    <xf numFmtId="0" fontId="15" fillId="0" borderId="0" xfId="17" applyFont="1" applyAlignment="1">
      <alignment wrapText="1"/>
    </xf>
    <xf numFmtId="0" fontId="14" fillId="0" borderId="0" xfId="17" applyFont="1" applyAlignment="1">
      <alignment horizontal="left" wrapText="1"/>
    </xf>
    <xf numFmtId="0" fontId="15" fillId="0" borderId="0" xfId="12" applyFont="1" applyAlignment="1">
      <alignment wrapText="1"/>
    </xf>
    <xf numFmtId="0" fontId="14" fillId="0" borderId="0" xfId="12" applyFont="1" applyAlignment="1">
      <alignment horizontal="left" wrapText="1"/>
    </xf>
    <xf numFmtId="0" fontId="20" fillId="3" borderId="4" xfId="4" applyFont="1" applyFill="1" applyBorder="1" applyAlignment="1">
      <alignment horizontal="center" vertical="center" wrapText="1"/>
    </xf>
    <xf numFmtId="0" fontId="19" fillId="3" borderId="4" xfId="4" applyFont="1" applyFill="1" applyBorder="1" applyAlignment="1">
      <alignment horizontal="center" vertical="center" wrapText="1"/>
    </xf>
    <xf numFmtId="0" fontId="18" fillId="0" borderId="28" xfId="4" applyFont="1" applyBorder="1" applyAlignment="1">
      <alignment horizontal="center" vertical="center" wrapText="1"/>
    </xf>
    <xf numFmtId="0" fontId="18" fillId="0" borderId="31" xfId="4" applyFont="1" applyBorder="1" applyAlignment="1">
      <alignment horizontal="center" vertical="center" wrapText="1"/>
    </xf>
    <xf numFmtId="0" fontId="18" fillId="0" borderId="30" xfId="4" applyFont="1" applyBorder="1" applyAlignment="1">
      <alignment horizontal="center" vertical="center" wrapText="1"/>
    </xf>
    <xf numFmtId="0" fontId="18" fillId="0" borderId="34" xfId="4" applyFont="1" applyBorder="1" applyAlignment="1">
      <alignment horizontal="center" vertical="center" wrapText="1"/>
    </xf>
    <xf numFmtId="0" fontId="18" fillId="15" borderId="4" xfId="4" applyFont="1" applyFill="1" applyBorder="1" applyAlignment="1">
      <alignment horizontal="center" vertical="center" wrapText="1"/>
    </xf>
    <xf numFmtId="0" fontId="20" fillId="3" borderId="10" xfId="4" applyFont="1" applyFill="1" applyBorder="1" applyAlignment="1">
      <alignment horizontal="center" vertical="center" wrapText="1"/>
    </xf>
    <xf numFmtId="0" fontId="20" fillId="3" borderId="11" xfId="4" applyFont="1" applyFill="1" applyBorder="1" applyAlignment="1">
      <alignment horizontal="center" vertical="center" wrapText="1"/>
    </xf>
    <xf numFmtId="0" fontId="19" fillId="3" borderId="9" xfId="4" applyFont="1" applyFill="1" applyBorder="1" applyAlignment="1">
      <alignment horizontal="center" vertical="center" wrapText="1"/>
    </xf>
    <xf numFmtId="0" fontId="19" fillId="3" borderId="9" xfId="4" applyFont="1" applyFill="1" applyBorder="1" applyAlignment="1">
      <alignment horizontal="center" vertical="center"/>
    </xf>
    <xf numFmtId="0" fontId="19" fillId="3" borderId="7" xfId="4" applyFont="1" applyFill="1" applyBorder="1" applyAlignment="1">
      <alignment horizontal="center" vertical="center" wrapText="1"/>
    </xf>
    <xf numFmtId="0" fontId="19" fillId="3" borderId="8" xfId="4" applyFont="1" applyFill="1" applyBorder="1" applyAlignment="1">
      <alignment horizontal="center" vertical="center" wrapText="1"/>
    </xf>
    <xf numFmtId="0" fontId="21" fillId="3" borderId="28" xfId="4" applyFont="1" applyFill="1" applyBorder="1" applyAlignment="1">
      <alignment horizontal="center" vertical="center" wrapText="1"/>
    </xf>
    <xf numFmtId="0" fontId="21" fillId="3" borderId="31" xfId="4" applyFont="1" applyFill="1" applyBorder="1" applyAlignment="1">
      <alignment horizontal="center" vertical="center" wrapText="1"/>
    </xf>
    <xf numFmtId="0" fontId="21" fillId="3" borderId="4" xfId="4" applyFont="1" applyFill="1" applyBorder="1" applyAlignment="1">
      <alignment horizontal="center" vertical="center" wrapText="1"/>
    </xf>
    <xf numFmtId="0" fontId="17" fillId="0" borderId="0" xfId="4" applyFont="1" applyAlignment="1">
      <alignment horizontal="center" vertical="center" wrapText="1"/>
    </xf>
    <xf numFmtId="0" fontId="19" fillId="0" borderId="22" xfId="4" applyFont="1" applyBorder="1" applyAlignment="1">
      <alignment horizontal="center" vertical="center" wrapText="1"/>
    </xf>
    <xf numFmtId="0" fontId="19" fillId="0" borderId="23" xfId="4" applyFont="1" applyBorder="1" applyAlignment="1">
      <alignment horizontal="center" vertical="center" wrapText="1"/>
    </xf>
    <xf numFmtId="0" fontId="19" fillId="0" borderId="24" xfId="4" applyFont="1" applyBorder="1" applyAlignment="1">
      <alignment horizontal="center" vertical="center" wrapText="1"/>
    </xf>
    <xf numFmtId="0" fontId="19" fillId="0" borderId="25" xfId="4" applyFont="1" applyBorder="1" applyAlignment="1">
      <alignment horizontal="center" vertical="center" wrapText="1"/>
    </xf>
    <xf numFmtId="0" fontId="19" fillId="0" borderId="29" xfId="4" applyFont="1" applyBorder="1" applyAlignment="1">
      <alignment horizontal="center" vertical="center" wrapText="1"/>
    </xf>
    <xf numFmtId="0" fontId="19" fillId="0" borderId="32" xfId="4" applyFont="1" applyBorder="1" applyAlignment="1">
      <alignment horizontal="center" vertical="center" wrapText="1"/>
    </xf>
    <xf numFmtId="0" fontId="19" fillId="0" borderId="26" xfId="4" applyFont="1" applyBorder="1" applyAlignment="1">
      <alignment horizontal="center" vertical="center" wrapText="1"/>
    </xf>
    <xf numFmtId="0" fontId="19" fillId="0" borderId="0" xfId="4" applyFont="1" applyAlignment="1">
      <alignment horizontal="center" vertical="center" wrapText="1"/>
    </xf>
    <xf numFmtId="0" fontId="19" fillId="0" borderId="33" xfId="4" applyFont="1" applyBorder="1" applyAlignment="1">
      <alignment horizontal="center" vertical="center" wrapText="1"/>
    </xf>
    <xf numFmtId="0" fontId="19" fillId="3" borderId="27" xfId="4" applyFont="1" applyFill="1" applyBorder="1" applyAlignment="1">
      <alignment horizontal="center" vertical="center" wrapText="1"/>
    </xf>
    <xf numFmtId="0" fontId="19" fillId="3" borderId="30" xfId="4" applyFont="1" applyFill="1" applyBorder="1" applyAlignment="1">
      <alignment horizontal="center" vertical="center" wrapText="1"/>
    </xf>
    <xf numFmtId="0" fontId="15" fillId="0" borderId="15" xfId="11" applyFont="1" applyBorder="1" applyAlignment="1">
      <alignment wrapText="1"/>
    </xf>
    <xf numFmtId="0" fontId="14" fillId="0" borderId="0" xfId="11" applyFont="1" applyAlignment="1">
      <alignment horizontal="left" wrapText="1"/>
    </xf>
    <xf numFmtId="0" fontId="15" fillId="0" borderId="0" xfId="11" applyFont="1" applyAlignment="1">
      <alignment wrapText="1"/>
    </xf>
    <xf numFmtId="165" fontId="25" fillId="14" borderId="4" xfId="4" applyNumberFormat="1" applyFont="1" applyFill="1" applyBorder="1" applyAlignment="1">
      <alignment horizontal="center" vertical="center"/>
    </xf>
    <xf numFmtId="0" fontId="0" fillId="0" borderId="0" xfId="0" pivotButton="1"/>
    <xf numFmtId="0" fontId="0" fillId="0" borderId="0" xfId="0" applyAlignment="1">
      <alignment horizontal="left"/>
    </xf>
    <xf numFmtId="10" fontId="0" fillId="0" borderId="0" xfId="0" applyNumberFormat="1"/>
  </cellXfs>
  <cellStyles count="20">
    <cellStyle name="Hipervínculo 2" xfId="9" xr:uid="{2B293CB4-4EAD-4255-8471-C0DA8350D9B8}"/>
    <cellStyle name="Millares 2" xfId="6" xr:uid="{13460067-E1B1-44F0-B307-A5F25B68EE44}"/>
    <cellStyle name="Millares 2 2" xfId="10" xr:uid="{CAC7855D-98CA-4ECE-993D-FF5134C3B320}"/>
    <cellStyle name="Moneda" xfId="19" builtinId="4"/>
    <cellStyle name="Moneda [0]" xfId="18" builtinId="7"/>
    <cellStyle name="Moneda [0] 2" xfId="5" xr:uid="{E57F5D63-0E39-4B6F-BB3B-11E67024E275}"/>
    <cellStyle name="Moneda [0] 2 2" xfId="8" xr:uid="{EE5D6197-C8E7-447E-9BFA-0F13521D70BF}"/>
    <cellStyle name="Moneda 3" xfId="3" xr:uid="{5A873643-4A2A-4D10-8FB4-46BEB8B910ED}"/>
    <cellStyle name="Moneda 3 2" xfId="13" xr:uid="{FCC391DF-E8D3-44B5-B221-00A44B37C053}"/>
    <cellStyle name="Normal" xfId="0" builtinId="0"/>
    <cellStyle name="Normal 10 2" xfId="12" xr:uid="{3CADC78E-7A00-47C3-8182-5ED50200C88A}"/>
    <cellStyle name="Normal 12 2" xfId="14" xr:uid="{3AC55439-7CAB-479A-ADFF-68FFC5A8D526}"/>
    <cellStyle name="Normal 14 2" xfId="15" xr:uid="{CA75FA45-44CF-4671-9637-8095A0F6109D}"/>
    <cellStyle name="Normal 19" xfId="11" xr:uid="{CDAED112-1D02-48E6-BA1E-6FBEDF6C5B5D}"/>
    <cellStyle name="Normal 2" xfId="1" xr:uid="{6FA0A8E5-50C2-4D2F-BE61-B789D5869D17}"/>
    <cellStyle name="Normal 2 2" xfId="2" xr:uid="{72ACA09B-5FDC-4CFE-B0AA-6C1269C99259}"/>
    <cellStyle name="Normal 3" xfId="4" xr:uid="{2445AC03-8345-4CB1-AC75-0F409FED34B6}"/>
    <cellStyle name="Normal 3 2" xfId="17" xr:uid="{D531E5CB-4311-4A01-AC63-8C124835354F}"/>
    <cellStyle name="Porcentaje 2" xfId="7" xr:uid="{F0981344-8F91-4851-B1B7-FBAF05D408B2}"/>
    <cellStyle name="Porcentaje 3" xfId="16" xr:uid="{A340A218-BD4D-4106-A9C5-9DA141212A80}"/>
  </cellStyles>
  <dxfs count="9">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
      <numFmt numFmtId="14" formatCode="0.00%"/>
    </dxf>
    <dxf>
      <numFmt numFmtId="34" formatCode="_-&quot;$&quot;\ * #,##0.00_-;\-&quot;$&quot;\ * #,##0.00_-;_-&quot;$&quot;\ * &quot;-&quot;??_-;_-@_-"/>
    </dxf>
    <dxf>
      <numFmt numFmtId="34" formatCode="_-&quot;$&quot;\ * #,##0.00_-;\-&quot;$&quot;\ * #,##0.00_-;_-&quot;$&quot;\ * &quot;-&quot;??_-;_-@_-"/>
    </dxf>
  </dxfs>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463068</xdr:colOff>
      <xdr:row>3</xdr:row>
      <xdr:rowOff>107124</xdr:rowOff>
    </xdr:to>
    <xdr:pic>
      <xdr:nvPicPr>
        <xdr:cNvPr id="2" name="2 Imagen">
          <a:extLst>
            <a:ext uri="{FF2B5EF4-FFF2-40B4-BE49-F238E27FC236}">
              <a16:creationId xmlns:a16="http://schemas.microsoft.com/office/drawing/2014/main" id="{A15A639E-B4BC-4E2F-939E-15A184E7AB21}"/>
            </a:ext>
          </a:extLst>
        </xdr:cNvPr>
        <xdr:cNvPicPr>
          <a:picLocks noChangeAspect="1"/>
        </xdr:cNvPicPr>
      </xdr:nvPicPr>
      <xdr:blipFill>
        <a:blip xmlns:r="http://schemas.openxmlformats.org/officeDocument/2006/relationships" r:embed="rId1"/>
        <a:stretch>
          <a:fillRect/>
        </a:stretch>
      </xdr:blipFill>
      <xdr:spPr>
        <a:xfrm>
          <a:off x="332507" y="23586"/>
          <a:ext cx="635386" cy="6550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id="{ED420948-25F2-4073-812D-BF3DFB198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uran\Documents\IMEBU\Observatorio%20Econ&#243;mico\BASES%20DE%20DATOS%20IMEBU\2022\12.%20DICIEMBRE\PA%20Imebu_Dic%2031.xlsx" TargetMode="External"/><Relationship Id="rId1" Type="http://schemas.openxmlformats.org/officeDocument/2006/relationships/externalLinkPath" Target="/Users/yuran/Documents/IMEBU/Observatorio%20Econ&#243;mico/BASES%20DE%20DATOS%20IMEBU/2022/12.%20DICIEMBRE/PA%20Imebu_Dic%203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A 2022"/>
      <sheetName val="Gastos_Abril"/>
      <sheetName val="Gastos_Mayo"/>
      <sheetName val="Recursos Gestionados"/>
      <sheetName val="Resultado por Estrategias "/>
      <sheetName val="Avance a cuatrienio"/>
      <sheetName val="Calculos CDE"/>
      <sheetName val="Gastos_Diciembre"/>
      <sheetName val="Cálculos 3M"/>
      <sheetName val="Cálculos Cow - Empl"/>
      <sheetName val="Gastos_DicPrelim"/>
      <sheetName val="Gastos_15 Diciembre"/>
      <sheetName val="Gastos_Noviembre"/>
      <sheetName val="Gastos_Julio"/>
      <sheetName val="Gastos_Junio"/>
      <sheetName val="Gastos_Agosto"/>
      <sheetName val="Gastos_Feb"/>
      <sheetName val="Gastos_Mar"/>
      <sheetName val="Gastos_Ene"/>
      <sheetName val="Gastos_Septiembre"/>
      <sheetName val="Gastos_Octubre"/>
      <sheetName val="Ingresos Junio"/>
      <sheetName val="EjecPres_Junio"/>
    </sheetNames>
    <sheetDataSet>
      <sheetData sheetId="0">
        <row r="9">
          <cell r="E9" t="str">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ell>
          <cell r="M9">
            <v>2380</v>
          </cell>
        </row>
        <row r="10">
          <cell r="E10" t="str">
            <v>Implementar 1 programa de desarrollo empresarial y de empleabilidad para las micro y pequeñas empresas (incluyendo unidades productivas).</v>
          </cell>
          <cell r="M10">
            <v>1</v>
          </cell>
        </row>
        <row r="11">
          <cell r="E11" t="str">
            <v>Desarrollar el modelo CDE virtual para que amplíen la cobertura en la ciudad.</v>
          </cell>
        </row>
        <row r="12">
          <cell r="E12" t="str">
            <v xml:space="preserve">Formar a 7.000 emprendedores a través de un programa de formación teórica, empresarial y/o artesanal con enfoque diferencial para emprendimientos artísticos, culturales, creativos, negocios verdes, microempresarios y/o unidades productivas urbanas y rurales. </v>
          </cell>
          <cell r="M12">
            <v>7106</v>
          </cell>
        </row>
        <row r="13">
          <cell r="E13" t="str">
            <v>Implementar en 4.000 mipymes planes estratégicos orientados a innovar y/o incorporación tecnológica en áreas empresariales estratégicas con apoyo de Universidades y actores económicos clave.</v>
          </cell>
          <cell r="M13">
            <v>973</v>
          </cell>
        </row>
        <row r="14">
          <cell r="E14" t="str">
            <v>Intervenir a 4.000 empresas y/o emprendimientos mediante apalancamiento financiero orientado a realizar inversión en innovación y/o tecnología en la zona rural y urbana con enfoque diferencial.</v>
          </cell>
          <cell r="M14">
            <v>1834</v>
          </cell>
        </row>
        <row r="16">
          <cell r="E16" t="str">
            <v>Otorgar 6.000 créditos a emprendimientos y mipymes de orientados a capital de trabajo o destinos de inversión diferente a innovación y/o tecnología en zonas urbanas y rurales.</v>
          </cell>
          <cell r="M16">
            <v>1520</v>
          </cell>
        </row>
        <row r="18">
          <cell r="E18" t="str">
            <v>Registrar 5.000 hojas de vida para facilitar el proceso de inserción en el mercado laboral identificando habilidades, destrezas  y que competencias  para el trabajo.</v>
          </cell>
          <cell r="M18">
            <v>6331</v>
          </cell>
        </row>
        <row r="19">
          <cell r="E19" t="str">
            <v>Formar 3.000  jóvenes y adultos en competencias  personales y/o  técnicas para el trabajo con el fin de facilitar su inserción en el mercado laboral.</v>
          </cell>
          <cell r="M19">
            <v>4242</v>
          </cell>
        </row>
        <row r="21">
          <cell r="E21" t="str">
            <v>Acompañar a 1.500 empresas en el fomento de una cultura del empleo y trabajo decente para capturar  vacantes que permitan realizar la intermediación laboral.</v>
          </cell>
          <cell r="M21">
            <v>942</v>
          </cell>
        </row>
        <row r="22">
          <cell r="E22" t="str">
            <v>Mantener en funcionamiento el 100% de los programas del Instituto Municipal del Empleo.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persons/person.xml><?xml version="1.0" encoding="utf-8"?>
<personList xmlns="http://schemas.microsoft.com/office/spreadsheetml/2018/threadedcomments" xmlns:x="http://schemas.openxmlformats.org/spreadsheetml/2006/main">
  <person displayName="HARVY GIOVANNI HERRERA ESTUPINAN" id="{F492DF60-9B47-4D13-9E09-78D71DAA4C8C}" userId="HARVY GIOVANNI HERRERA ESTUPINAN" providerId="None"/>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Yurany Uriza" refreshedDate="45026.938479282406" createdVersion="8" refreshedVersion="8" minRefreshableVersion="3" recordCount="88" xr:uid="{BDAC89FA-6D06-4A5B-86D5-0E728FF7AE95}">
  <cacheSource type="worksheet">
    <worksheetSource ref="A1:O89" sheet="Contratación"/>
  </cacheSource>
  <cacheFields count="15">
    <cacheField name="No. Meta (la del PA)" numFmtId="0">
      <sharedItems containsSemiMixedTypes="0" containsString="0" containsNumber="1" containsInteger="1" minValue="180" maxValue="302" count="11">
        <n v="180"/>
        <n v="184"/>
        <n v="185"/>
        <n v="182"/>
        <n v="183"/>
        <n v="186"/>
        <n v="187"/>
        <n v="190" u="1"/>
        <n v="189" u="1"/>
        <n v="188" u="1"/>
        <n v="302" u="1"/>
      </sharedItems>
    </cacheField>
    <cacheField name="Meta PDM (Copiar la meta del PA)" numFmtId="0">
      <sharedItems longText="1"/>
    </cacheField>
    <cacheField name="BPIN" numFmtId="1">
      <sharedItems containsSemiMixedTypes="0" containsString="0" containsNumber="1" containsInteger="1" minValue="2020680010074" maxValue="2022680010037"/>
    </cacheField>
    <cacheField name="Nombre proyecto de inversión" numFmtId="0">
      <sharedItems count="5">
        <s v="FORTALECIMIENTO DEL COWORKING COMO ESTRATEGIA PARA EL EMPRENDIMIENTO, INNOVACIÓN, DINAMIZACIÓN Y ACELERACIÓN EMPRESARIAL EN EL MUNICIPIO DE BUCARAMANGA"/>
        <s v="FORTALECIMIENTO DEL CENTRO DE DESARROLLO EMPRESARIAL Y DE EMPLEABILIDAD EN EL MUNICIPIO DE BUCARAMANGA"/>
        <s v="APOYO A LAS LÍNEAS DE CRÉDITO CONDONABLE Y NO CONDONABLE DEL FONDO DE FOMENTO Y CRÉDITO DEL IMEBU PROGRAMA BANCA CIUDADANA EN EL MUNICIPIO DE BUCARAMANGA"/>
        <s v="FORTALECIMIENTO DE LA OFICINA DE FOMENTO A LA EMPLEABILIDAD, EL EMPLEO Y EL TRABAJO DECENTE EN EL MUNICIPIO DE BUCARAMANGA" u="1"/>
        <s v="FORTALECIMIENTO DE LOS PROCESOS DEL INSTITUTO MUNICIPAL DE EMPLEO Y FOMENTO EMPRESARIAL DEL MUNICIPIO DE BUCARAMANGA" u="1"/>
      </sharedItems>
    </cacheField>
    <cacheField name="Objeto de la contratación/pago/transferencia/etc" numFmtId="0">
      <sharedItems longText="1"/>
    </cacheField>
    <cacheField name="No. contrato/convenio/pago/resolución/etc" numFmtId="0">
      <sharedItems/>
    </cacheField>
    <cacheField name="Tipo de contrato" numFmtId="0">
      <sharedItems/>
    </cacheField>
    <cacheField name="Modalidad" numFmtId="0">
      <sharedItems/>
    </cacheField>
    <cacheField name="Nombre Contratista" numFmtId="0">
      <sharedItems/>
    </cacheField>
    <cacheField name="Rubro" numFmtId="0">
      <sharedItems/>
    </cacheField>
    <cacheField name="Fecha RP" numFmtId="169">
      <sharedItems containsNonDate="0" containsDate="1" containsString="0" containsBlank="1" minDate="2023-01-18T00:00:00" maxDate="2023-03-30T00:00:00"/>
    </cacheField>
    <cacheField name="Total apropiado" numFmtId="0">
      <sharedItems containsSemiMixedTypes="0" containsString="0" containsNumber="1" containsInteger="1" minValue="4200000" maxValue="351258394"/>
    </cacheField>
    <cacheField name="Total comprometido" numFmtId="0">
      <sharedItems containsString="0" containsBlank="1" containsNumber="1" containsInteger="1" minValue="4200000" maxValue="351258394"/>
    </cacheField>
    <cacheField name="Total obligado (pagos+cxp)" numFmtId="0">
      <sharedItems containsString="0" containsBlank="1" containsNumber="1" minValue="0" maxValue="55765500"/>
    </cacheField>
    <cacheField name="Referencia Secop II"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8">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ACTER TEMPORAL PARA COADYUVAR A TRAVES DE ACOMPAÑAMIENTOS EN DESARROLLO Y PROGRAMACION WEB A EMPRESARIOS Y/O EMPRENDEDORES DE LA CIUDAD DE BUCARAMANGA, QUE REQUIERAN OPTIMIZAR SUS RECURSOS DIGITALES Y WEB, ACORDE AL PROCESO DE AVCELERACION DEL PROGRAMA COWORKING BAJO LA ESTRATEGIA AVANZA BGA DEL IMEBU. CPS-103-2023, DURACIÓN SIETE (07) MESES."/>
    <s v="103-2023"/>
    <s v="CPS"/>
    <s v="DIRECTA"/>
    <s v="APARICIO DURAN BRAYAN"/>
    <s v="2.3.2.02.02.009.05"/>
    <d v="2023-03-29T00:00:00"/>
    <n v="28000000"/>
    <n v="28000000"/>
    <m/>
    <m/>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
    <s v="076-2023"/>
    <s v="CPS"/>
    <s v="DIRECTA"/>
    <s v="ARCINIEGAS VARGAS OSCAR ORLANDO"/>
    <s v="2.3.2.02.02.009.05"/>
    <d v="2023-02-21T00:00:00"/>
    <n v="14700000"/>
    <n v="14700000"/>
    <n v="1225000"/>
    <s v="https://community.secop.gov.co/Public/Tendering/OpportunityDetail/Index?noticeUID=CO1.NTC.4041667&amp;isFromPublicArea=True&amp;isModal=False_x000a_"/>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BRINDAR APOYO Y ACOMPAÑAMIENTO A EMPRESARIOS Y EMPRENDEDORES DE LA CIUDAD, EN EL DISEÑO Y CREACIÓN DE PÁGINAS WEB EN EL MARCO DEL PROGRAMA COWORKING DEL IMEBU"/>
    <s v="063-2023"/>
    <s v="CPS"/>
    <s v="DIRECTA"/>
    <s v="BAYONA GARCIA MARIO JESUS"/>
    <s v="2.3.2.02.02.009.05"/>
    <d v="2023-01-31T00:00:00"/>
    <n v="33600000"/>
    <n v="33600000"/>
    <n v="4200000"/>
    <s v="https://community.secop.gov.co/Public/Tendering/OpportunityDetail/Index?noticeUID=CO1.NTC.3892847&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AUNAR ESFUERZOS PARA FOMENTAR EL EMPRENDIMIENTO, LA CIENCIA, TECNOLOGÍA E INNOVACIÓN MEDIANTE LA PARTICIPACIÓN EN EL PROYECTO S-INNOVA BUCARAMANGA."/>
    <s v="002-2023"/>
    <s v="CA"/>
    <s v="DIRECTA"/>
    <s v="CAMARA DE COMERCIO DE BUCARAMANGA"/>
    <s v="2.3.2.02.02.007.01"/>
    <d v="2023-02-17T00:00:00"/>
    <n v="170000000"/>
    <n v="170000000"/>
    <n v="0"/>
    <s v="https://community.secop.gov.co/Public/Tendering/OpportunityDetail/Index?noticeUID=CO1.NTC.4002380&amp;isFromPublicArea=True&amp;isModal=False_x000a_"/>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DE APOYO A LA GESTIÓN, PARA COADYUVAR EN LAS ACTIVIDADES ASISTENCIALES, OPERATIVAS Y LOGÍSTICAS REQUERIDAS PARA LA ESTRATEGIA INCUBADORA DE EMPRENDIMIENTOS, EN EL MARCO DEL PROGRAMA MISIONAL COWORKING DEL IMEBU. "/>
    <s v="080-2023"/>
    <s v="CPS"/>
    <s v="DIRECTA"/>
    <s v="CARDENAS BARILLAS SANDRA LILIANA"/>
    <s v="2.3.2.02.02.009.05"/>
    <d v="2023-02-21T00:00:00"/>
    <n v="11025000"/>
    <n v="11025000"/>
    <n v="826875"/>
    <s v="https://community.secop.gov.co/Public/Tendering/OpportunityDetail/Index?noticeUID=CO1.NTC.4051159&amp;isFromPublicArea=True&amp;isModal=False_x000a_"/>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ACTER TEMPORAL PARA BRINDAR APOYO Y SEGUIMIENTO TECNICO, ADMINISTRATIVO Y COMERCIAL A EMPRENDEDORES Y EMPRESARIOS DE LA CIUDAD, DE ACUERDO A LA ESTRATEGIA INCUBADORA DE EMPRENDIMIENTOS, EN EL MARCO DEL PROGRAMA MISIONAL COWORKING DEL IMEBU"/>
    <s v="048-2023"/>
    <s v="CPS"/>
    <s v="DIRECTA"/>
    <s v="CHARRY BOLIVAR LORENA"/>
    <s v="2.3.2.02.02.009.05"/>
    <d v="2023-01-27T00:00:00"/>
    <n v="14700000"/>
    <n v="14700000"/>
    <n v="4165000"/>
    <s v="https://community.secop.gov.co/Public/Tendering/OpportunityDetail/Index?noticeUID=CO1.NTC.3855802&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ACTER TEMPORAL, PARA BRINDAR APOYO Y ACOMPAÑAMIENTO A LOS MODELOS DE NEGOCIOS DE EMPRENDEDORES Y EMPRESARIOS DE LA CIUDAD DE BUCARAMANGA, DE ACUERDO A LA ESTRATEGIA INCUBADORA DE EMPRENDIMIENTOS, EN EL MARCO DEL PROGRAMA MISIONAL COWORKING DEL IMEBU. CPS-093-2023, DURACIÓN SEIS (06) MESES."/>
    <s v="093-2023"/>
    <s v="CPS"/>
    <s v="DIRECTA"/>
    <s v="DELGADO GALVIS MARTHA LILIANA"/>
    <s v="2.3.2.02.02.009.05"/>
    <d v="2023-03-10T00:00:00"/>
    <n v="22800000"/>
    <n v="22800000"/>
    <m/>
    <m/>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APOYAR EN LAS DIFERENTES ESTRATEGIAS DE MARKETING A EMPRESARIOS Y EMPRENDEDORES DE LA CIUDAD, EN EL MARCO DEL PROGRAMA COWORKING DEL IMEBU"/>
    <s v="053-2023"/>
    <s v="CPS"/>
    <s v="DIRECTA"/>
    <s v="GARCIA ORTIZ SILVIA JULIANA"/>
    <s v="2.3.2.02.02.009.05"/>
    <d v="2023-01-31T00:00:00"/>
    <n v="33600000"/>
    <n v="33600000"/>
    <n v="4200000"/>
    <s v="https://community.secop.gov.co/Public/Tendering/OpportunityDetail/Index?noticeUID=CO1.NTC.3890153&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COMO PRODUCTOR Y FOTÓGRAFO QUE CONTRIBUYA A IMPULSAR Y FORTALECER LAS CAMPAÑAS CREATIVAS DE EMPRESARIOS Y EMPRENDEDORES DE LA CIUDAD, EN EL MARCO DEL PROGRAMA COWORKING DEL IMEBU"/>
    <s v="054-2023"/>
    <s v="CPS"/>
    <s v="DIRECTA"/>
    <s v="LEAL MORENO CRISTIAN CAMILO"/>
    <s v="2.3.2.02.02.009.05"/>
    <d v="2023-01-31T00:00:00"/>
    <n v="33600000"/>
    <n v="33600000"/>
    <n v="4200000"/>
    <s v="https://community.secop.gov.co/Public/Tendering/OpportunityDetail/Index?noticeUID=CO1.NTC.3891354&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BRINDAR APOYO EN ESTRATEGIAS DIGITALES Y AUTOMATIZACIÓN DE MARKETING, DIRIGIDO A EMPRESARIOS Y EMPRENDEDORES DE LA CIUDAD EN EL MARCO DE LA ESTRATEGIA AVANZA BGA-PROGRAMA COWORKING DEL IMEBU."/>
    <s v="035-2023"/>
    <s v="CPS"/>
    <s v="DIRECTA"/>
    <s v="LIZARAZO GUERRERO JUAN SEBASTIAN"/>
    <s v="2.3.2.02.02.009.05"/>
    <d v="2023-01-24T00:00:00"/>
    <n v="33600000"/>
    <n v="33600000"/>
    <n v="5180000"/>
    <s v="https://community.secop.gov.co/Public/Tendering/OpportunityDetail/Index?noticeUID=CO1.NTC.3824914&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CD 23-00082, PRESTAR LOS SERVICIOS PROFESIONALES DE CARÁCTER TEMPORAL PARA BRINDAR APOYO A LA SUBDIRECCIÓN TÉCNICA EN LA GESTIÓN DE ESTRATEGIAS DIGITALES Y AUTOMATIZACIÓN DE MARKETING, DIRIGIDO A EMPRESARIOS Y EMPRENDEDORES DE BUCARAMANGA EN EL MARCO DE LA ESTRATEGIA AVANZA BGA -PROGRAMA COWORKING DEL IMEBU. CPS 071 DURACIÓN OCHO (08) MESES."/>
    <s v="071-2023"/>
    <s v="CPS"/>
    <s v="DIRECTA"/>
    <s v="LOPEZ LOPEZ YULIET DAYANA"/>
    <s v="2.3.2.02.02.009.05"/>
    <d v="2023-02-09T00:00:00"/>
    <n v="33600000"/>
    <n v="33600000"/>
    <n v="3080000"/>
    <s v="https://community.secop.gov.co/Public/Tendering/OpportunityDetail/Index?noticeUID=CO1.NTC.3961646&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CD 23-00093, 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 CPS074, DURACIÓN CUATRO (04) MESES."/>
    <s v="074-2023"/>
    <s v="CPS"/>
    <s v="DIRECTA"/>
    <s v="MUñOZ AYALA DIANA CONSTANZA"/>
    <s v="2.3.2.02.02.009.05"/>
    <d v="2023-02-17T00:00:00"/>
    <n v="14700000"/>
    <n v="14700000"/>
    <n v="1715000"/>
    <s v="https://community.secop.gov.co/Public/Tendering/OpportunityDetail/Index?noticeUID=CO1.NTC.4022369&amp;isFromPublicArea=True&amp;isModal=False_x000a_"/>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CD 23-00095, 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 CPS 079, DURACIÓN CUATRO (04) MESES."/>
    <s v="079-2023"/>
    <s v="CPS"/>
    <s v="DIRECTA"/>
    <s v="PARRA ARCHILA ENITH DURLEY"/>
    <s v="2.3.2.02.02.009.05"/>
    <d v="2023-02-21T00:00:00"/>
    <n v="14700000"/>
    <n v="14700000"/>
    <n v="1225000"/>
    <s v="https://community.secop.gov.co/Public/Tendering/OpportunityDetail/Index?noticeUID=CO1.NTC.4043084&amp;isFromPublicArea=True&amp;isModal=False_x000a_"/>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APOYAR LA GESTIÓN, RECEPCIÓN Y ENTREGA DE HERRAMIENTAS TECNOLÓGICAS, REQUERIDAS PARA EL PROCESO DE ACELERACIÓN EMPRESARIAL EN EL MARCO DEL PROGRAMA COWORKING DE LA ENTIDAD."/>
    <s v="018-2023"/>
    <s v="CPS"/>
    <s v="DIRECTA"/>
    <s v="PEREZ ROMERO LUIS JULIAN"/>
    <s v="2.3.2.02.02.009.05"/>
    <d v="2023-01-19T00:00:00"/>
    <n v="40800000"/>
    <n v="40800000"/>
    <n v="6460000"/>
    <s v="https://community.secop.gov.co/Public/Tendering/OpportunityDetail/Index?noticeUID=CO1.NTC.3789237&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COADYUVAR EN LA COORDINACIÓN, PUESTA EN MARCHA Y SEGUIMIENTO DE LAS ACCIONES REQUERIDAS BAJO LA ESTRATEGIA DE INCUBACIÓN EMPRESARIAL CREA BGA, EN EL MARCO DEL PROGRAMA COWORKING DEL IMEBU."/>
    <s v="049-2023"/>
    <s v="CPS"/>
    <s v="DIRECTA"/>
    <s v="PITA BERMUDEZ LAURA NATHALIA"/>
    <s v="2.3.2.02.02.009.05"/>
    <d v="2023-01-27T00:00:00"/>
    <n v="40800000"/>
    <n v="40800000"/>
    <n v="5780000"/>
    <s v="https://community.secop.gov.co/Public/Tendering/OpportunityDetail/Index?noticeUID=CO1.NTC.3855639&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BRINDAR APOYO EN LA COORDINACIÓN DE PROYECTOS DE INNOVACIÓN SOCIAL, EN EL MARCO DEL PROGRAMA MISIONAL DE LA ENTIDAD COWORKING."/>
    <s v="017-2023"/>
    <s v="CPS"/>
    <s v="DIRECTA"/>
    <s v="QUIÑONEZ SANTOS NUBIA MARCELA"/>
    <s v="2.3.2.02.02.009.05"/>
    <d v="2023-01-18T00:00:00"/>
    <n v="40800000"/>
    <n v="40800000"/>
    <n v="6460000"/>
    <s v="https://community.secop.gov.co/Public/Tendering/OpportunityDetail/Index?noticeUID=CO1.NTC.3785554&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COMO DISEÑADOR GRÁFICO, PARA CONTRIBUIR EN EL DISEÑO DE PIEZAS GRÁFICAS QUE PERMITAN IMPULSAR Y FORTALECER LAS CAMPAÑAS CREATIVAS DE EMPRESARIOS Y EMPRENDEDORES DE LA CIUDAD DE BUCARAMANGA, EN EL MARCO DEL PROGRAMA COWORKING DEL IMEBU"/>
    <s v="057-2023"/>
    <s v="CPS"/>
    <s v="DIRECTA"/>
    <s v="RAMIREZ RONDON EDGAR MATEO"/>
    <s v="2.3.2.02.02.009.05"/>
    <d v="2023-01-31T00:00:00"/>
    <n v="33600000"/>
    <n v="33600000"/>
    <n v="4200000"/>
    <s v="https://community.secop.gov.co/Public/Tendering/OpportunityDetail/Index?noticeUID=CO1.NTC.3890345&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AFE MADRID. CPS-086-2023, DURACIÓN SIETE (07) MESES."/>
    <s v=" CPS-086"/>
    <s v="CPS"/>
    <s v="DIRECTA"/>
    <s v="ACEVEDO FERREIRA VIVIANA"/>
    <s v="2.3.2.02.02.009.03"/>
    <d v="2023-03-01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AFE MADRID. CPS-086-2023, DURACIÓN SIETE (07) MESES."/>
    <s v=" CPS-086"/>
    <s v="CPS"/>
    <s v="DIRECTA"/>
    <s v="ACEVEDO FERREIRA VIVIANA"/>
    <s v="2.3.2.02.02.009.03"/>
    <d v="2023-03-01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 SOMOS LOCALES DE LOS CENTROS DE DESARROLLO EMPRESARIAL CDE."/>
    <s v="056-2023"/>
    <s v="CPS"/>
    <s v="DIRECTA"/>
    <s v="ALBERNIA DIAZ LUIS CARLOS"/>
    <s v="2.3.2.02.02.009.03"/>
    <d v="2023-01-31T00:00:00"/>
    <n v="26600000"/>
    <n v="26600000"/>
    <n v="3800000"/>
    <s v="https://community.secop.gov.co/Public/Tendering/OpportunityDetail/Index?noticeUID=CO1.NTC.3889932&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KENNEDY. CPS-089-2023, DURACIÓN SIETE (07) MESES."/>
    <s v=" CPS-089"/>
    <s v="CPS"/>
    <s v="DIRECTA"/>
    <s v="ALVAREZ LIZCANO KATHERIN LISSETH"/>
    <s v="2.3.2.02.02.009.03"/>
    <d v="2023-03-02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KENNEDY. CPS-089-2023, DURACIÓN SIETE (07) MESES."/>
    <s v=" CPS-089"/>
    <s v="CPS"/>
    <s v="DIRECTA"/>
    <s v="ALVAREZ LIZCANO KATHERIN LISSETH"/>
    <s v="2.3.2.02.02.009.03"/>
    <d v="2023-03-02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NTRIBUIR EN LAS ACTIVIDADES LOGÍSTICAS, OPERATIVAS Y ASISTENCIALES QUE SE REQUIERAN EN LAS COMUNAS Y/O CORREGIMIENTOS DE BUCARAMANGA, DENTRO DE LA ESTRATEGIA DE REACTIVACIÓN ECONOMICA - SOMOS LOCALES DEL IMEBU."/>
    <s v="062-2023"/>
    <s v="CPS"/>
    <s v="DIRECTA"/>
    <s v="ARDILA SANDOVAL JURITH DANIELA"/>
    <s v="2.3.2.02.02.009.03"/>
    <d v="2023-01-31T00:00:00"/>
    <n v="11025000"/>
    <n v="11025000"/>
    <n v="2756250"/>
    <s v="https://community.secop.gov.co/Public/Tendering/OpportunityDetail/Index?noticeUID=CO1.NTC.3892169&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7-2023, DURACIÓN SIETE (07) MESES."/>
    <s v=" CPS-087"/>
    <s v="CPS"/>
    <s v="DIRECTA"/>
    <s v="ARISTIDES HERNANDEZ VALENCIA"/>
    <s v="2.3.2.02.02.009.03"/>
    <d v="2023-03-01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7-2023, DURACIÓN SIETE (07) MESES."/>
    <s v=" CPS-087"/>
    <s v="CPS"/>
    <s v="DIRECTA"/>
    <s v="ARISTIDES HERNANDEZ VALENCIA"/>
    <s v="2.3.2.02.02.009.03"/>
    <d v="2023-03-01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AFÉ MADRID. CPS-097-2023, DURACIÓN SIETE (07) MESES."/>
    <s v=" CPS-097-2023"/>
    <s v="CPS"/>
    <s v="DIRECTA"/>
    <s v="ASCENCIO PIMIENTO ANGELICA MARIA"/>
    <s v="2.3.2.02.02.009.03"/>
    <d v="2023-03-22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AFÉ MADRID. CPS-097-2023, DURACIÓN SIETE (07) MESES."/>
    <s v=" CPS-097-2023"/>
    <s v="CPS"/>
    <s v="DIRECTA"/>
    <s v="ASCENCIO PIMIENTO ANGELICA MARIA"/>
    <s v="2.3.2.02.02.009.03"/>
    <d v="2023-03-22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NTRIBUIR EN LAS ACTIVIDADES LOGÍSTICAS, OPERATIVAS Y ASISTENCIALES QUE SE REQUIERAN EN LAS COMUNAS Y/O CORREGIMIENTOS DE BUCARAMANGA, DENTRO DE LA ESTRATEGIA DE REACTIVACIÓN ECONÓMICA -SOMOS LOCALES DEL IMEBU."/>
    <s v="075-2023"/>
    <s v="CPS"/>
    <s v="DIRECTA"/>
    <s v="BAUTISTA GALLO CLAUDIA MILENA"/>
    <s v="2.3.2.02.02.009.03"/>
    <d v="2023-02-21T00:00:00"/>
    <n v="11025000"/>
    <n v="11025000"/>
    <n v="918750"/>
    <s v="https://community.secop.gov.co/Public/Tendering/OpportunityDetail/Index?noticeUID=CO1.NTC.4041724&amp;isFromPublicArea=True&amp;isModal=False"/>
  </r>
  <r>
    <x v="3"/>
    <s v="Implementar 1 programa de desarrollo empresarial y de empleabilidad para las micro y pequeñas empresas (incluyendo unidades productivas)."/>
    <n v="2020680010074"/>
    <x v="1"/>
    <s v="AUNAR ESFUERZOS TÉCNICOS, ADMINISTRATIVOS, OPERATIVOS Y ECONÓMICOS PARA COORDINAR ADMINISTRATIVAMENTE EL CENTRO DE DESARROLLO EMPRESARIAL Y EMPLEABILIDAD - CDE, UBICADO EN EL BARRIO CAFÉ MADRID Y PRESTAR EL ACOMPAÑAMIENTO EN LAS RUTAS DE EMPRENDIMIENTO Y DESARROLLO EMPRESARIAL DE TRES CDE A PARTIR DE LO SEÑALADO EN EL MODELO DE OPERACIÓN VIGENTE EN LA CIUDAD DE BUCARAMANGA"/>
    <s v="002-2023"/>
    <s v="CA"/>
    <s v="DIRECTA"/>
    <s v="CAMARA DE COMERCIO DE BUCARAMANGA"/>
    <s v="2.3.2.02.02.009.03"/>
    <d v="2023-02-17T00:00:00"/>
    <n v="79005242"/>
    <n v="79005242"/>
    <n v="0"/>
    <s v="https://community.secop.gov.co/Public/Tendering/OpportunityDetail/Index?noticeUID=CO1.NTC.4042930&amp;isFromPublicArea=True&amp;isModal=False"/>
  </r>
  <r>
    <x v="3"/>
    <s v="Implementar 1 programa de desarrollo empresarial y de empleabilidad para las micro y pequeñas empresas (incluyendo unidades productivas)."/>
    <n v="2020680010074"/>
    <x v="1"/>
    <s v="ENTREGAR A TITULO DE ARRENDAMIENTO A FAVOR DEL INSTITUTO MUNICIPAL DE EMPLEO Y FOMENTO EMPRESARIAL DEL MUNICIPIO DE BUCARAMANGA -IMEBU, EL BIEN INMUEBLE UBICADO EN LA CARRERA 15 No. 2-71, PARA EL FUNCIONAMIENTO DEL CENTRO DE DESARROLLO EMPRESARIAL Y DE EMPLEABILIDAD -CDE SEDE CHAPINERO. CA CD-003 DE 2023."/>
    <s v="ARRENDAMIENTO"/>
    <s v="ARRENDAMIENTO"/>
    <s v="DIRECTA"/>
    <s v="CAMARGO GUTIERREZ FLOR HELENA"/>
    <s v="2.3.2.02.02.007.02"/>
    <d v="2023-02-23T00:00:00"/>
    <n v="68750000"/>
    <n v="68750000"/>
    <n v="0"/>
    <s v="https://community.secop.gov.co/Public/Tendering/OpportunityDetail/Index?noticeUID=CO1.NTC.4061054&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AFÉ MADRID. CPS-104-2023, DURACIÓN SIETE (07) MESES."/>
    <s v=" CPS-104-2023"/>
    <s v="CPS"/>
    <s v="DIRECTA"/>
    <s v="CAMELO GUTIERREZ LIZ SMITH"/>
    <s v="2.3.2.02.02.009.03"/>
    <d v="2023-03-27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AFÉ MADRID. CPS-104-2023, DURACIÓN SIETE (07) MESES."/>
    <s v=" CPS-104-2023"/>
    <s v="CPS"/>
    <s v="DIRECTA"/>
    <s v="CAMELO GUTIERREZ LIZ SMITH"/>
    <s v="2.3.2.02.02.009.03"/>
    <d v="2023-03-27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3-2023, DURACIÓN SIETE (07) MESES."/>
    <s v=" CPS-083"/>
    <s v="CPS"/>
    <s v="DIRECTA"/>
    <s v="CARDENAS ROJAS ANA MAYERLY"/>
    <s v="2.3.2.02.02.009.03"/>
    <d v="2023-03-01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3-2023, DURACIÓN SIETE (07) MESES."/>
    <s v=" CPS-083"/>
    <s v="CPS"/>
    <s v="DIRECTA"/>
    <s v="CARDENAS ROJAS ANA MAYERLY"/>
    <s v="2.3.2.02.02.009.03"/>
    <d v="2023-03-01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KENNEDY. CPS-096-2023, DURACIÓN SEIS (06) MESES."/>
    <s v=" CPS-096-2023"/>
    <s v="CPS"/>
    <s v="DIRECTA"/>
    <s v="CASTILLO MARIN ERIKA LISCETH"/>
    <s v="2.3.2.02.02.009.03"/>
    <d v="2023-03-14T00:00:00"/>
    <n v="11400000"/>
    <n v="114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KENNEDY. CPS-096-2023, DURACIÓN SEIS (06) MESES."/>
    <s v=" CPS-096-2023"/>
    <s v="CPS"/>
    <s v="DIRECTA"/>
    <s v="CASTILLO MARIN ERIKA LISCETH"/>
    <s v="2.3.2.02.02.009.03"/>
    <d v="2023-03-14T00:00:00"/>
    <n v="11400000"/>
    <n v="114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ADYUVAR EN LA PRODUCCIÓN Y FOTOGRAFÍA CON EL FIN DE IMPULSAR Y FORTALECER LA ESTRATEGIA MARKETPLACE, EN EL MARCO DEL PROYECTO DE FORTALECIMIENTO DEL CENTRO DE DESARROLLO EMPRESARIAL Y DE EMPLEABILIDAD DE BUCARAMANGA CDE"/>
    <s v="050-2023"/>
    <s v="CPS"/>
    <s v="DIRECTA"/>
    <s v="CHAVEZ VELASQUEZ MARIA PAULA"/>
    <s v="2.3.2.02.02.009.03"/>
    <d v="2023-01-31T00:00:00"/>
    <n v="24000000"/>
    <n v="24000000"/>
    <n v="4000000"/>
    <s v="https://community.secop.gov.co/Public/Tendering/OpportunityDetail/Index?noticeUID=CO1.NTC.3875331&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ARRENDAR EL SALÓN PRINCIPAL, UBICADO EN EL CLUB DEL COMERCIO DE BUCARAMANGA PARA EL MONTAJE Y DESMONTAJE DEL EVENTO &quot;EXPOCALZADO BUCARAMANGA 2023&quot;, COMO APOYO A LOS PROCESOS DE REACTIVACIÓN ECONÓMICA Y DEL EMPLEO ADELANTADOS POR EL IMEBU EN EL MUNICIPIO DE BUCARAMANGA, DE ACUERDO A LAS ESPECIFICACIONES TÉCNICAS ESTABLECIDAS POR EL INSTITUTO MUNICIPAL DE EMPLEO Y FOMENTO EMPRESARIAL DEL MUNICIPIO DE BUCARAMANGA -IMEBU. CD002, ARRENDAMIENTO."/>
    <s v="002-2023"/>
    <s v="CD"/>
    <s v="DIRECTA"/>
    <s v="CLUB DEL COMERCIO DE BUCARAMANGA S.A."/>
    <s v="2.3.2.02.02.007.02"/>
    <d v="2023-02-21T00:00:00"/>
    <n v="15000000"/>
    <n v="15000000"/>
    <n v="15000000"/>
    <s v="https://community.secop.gov.co/Public/Tendering/OpportunityDetail/Index?noticeUID=CO1.NTC.4042521&amp;isFromPublicArea=True&amp;isModal=False_x000a_"/>
  </r>
  <r>
    <x v="3"/>
    <s v="Implementar 1 programa de desarrollo empresarial y de empleabilidad para las micro y pequeñas empresas (incluyendo unidades productivas)."/>
    <n v="2020680010074"/>
    <x v="1"/>
    <s v="AUNAR ESFUERZOS TÉCNICOS, ADMINISTRATIVOS, OPERATIVOS Y ECONÓMICOS PARA COORDINAR ADMINISTRATIVAMENTE LOS CENTROS DE DESARROLLO EMPRESARIAL Y EMPLEABILIDAD - CDE, UBICADOS EN LOS BARRIOS CHAPINERO Y KENNEDY, Y BRINDAR EL ACOMPAÑAMIENTO EN LA RUTA DE EMPLEO DE LOS TRES CDE, CHAPINERO, KENNEY Y CAFÉ MADRID A PARTIR DEL MODELO DE OPERACIÓN VIGENTE"/>
    <s v="001-2023"/>
    <s v="CA"/>
    <s v="DIRECTA"/>
    <s v="COMFENALCO SANTANDER"/>
    <s v="2.3.2.02.02.009.03"/>
    <d v="2023-02-21T00:00:00"/>
    <n v="351258394"/>
    <n v="351258394"/>
    <n v="0"/>
    <s v="https://community.secop.gov.co/Public/Tendering/OpportunityDetail/Index?noticeUID=CO1.NTC.4023222&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ARRENDAR EL SALON DENOMINADO &quot;GRAN SALON&quot;, UBICADO EN EL CENTRO DE CONVENCIONES Y EVENTOS DE NEOMUNDO DE BUCARAMANGA PARA EL MONTAJE Y DESMONTAJE DEL EVENTO EXPOASOINDUCALS CUERO 2023, COMO APOYO A LOS PROCESOS DE REACTIVACIÓN ECONÓMICA Y DEL EMPLEO ADELANTADOS POR EL INSTITUTO MUNICIPAL DE EMPLEO Y FOMENTO EMPRESARIAL DEL MUNICIPIO DE BUCARAMANGA -IMEBU."/>
    <s v="001-2023"/>
    <s v="CD"/>
    <s v="DIRECTA"/>
    <s v="CORPORACION CENTRO DE CONVENCIONES, CIENCIA, TECNOLOGIA, INNOVACION Y CULTURA DE"/>
    <s v="2.3.2.02.02.007.02"/>
    <d v="2023-02-17T00:00:00"/>
    <n v="55765500"/>
    <n v="55765500"/>
    <n v="55765500"/>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APOYAR LOS DIFERENTES EVENTOS Y ACTIVIDADES COMERCIALES A CARGO DEL IMEBU E INCLUIDOS EN LA AGENDA DEL MUNICIPIO DE BUCARAMANGA, EN EL MARCO DE LA ESTRATEGIA DE REACTIVACIÓN ECONÓMICA -SOMOS LOCALES CDE."/>
    <s v="070-2023"/>
    <s v="CPS"/>
    <s v="DIRECTA"/>
    <s v="DUARTE GARCIA ADRIANA PATRICIA"/>
    <s v="2.3.2.02.02.009.03"/>
    <d v="2023-02-09T00:00:00"/>
    <n v="18000000"/>
    <n v="18000000"/>
    <n v="2200000"/>
    <s v="https://community.secop.gov.co/Public/Tendering/OpportunityDetail/Index?noticeUID=CO1.NTC.3960919&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NTRIBUIR EN EL DESARROLLO DE LAS ACTIVIDADES ADMINISTRATIVAS, DE SEGUIMIENTO Y MEDICIÓN DE LA CALIDAD DE LOS SERVICIOS QUE SE PRESTAN A TRAVÉS DE LOS TRES CENTROS DE DESARROLLO EMPRESARIAL DE BUCARAMANGA -CDE. CPS-090-2023, DURACIÓN SIETE (07) MESES."/>
    <s v=" CPS-090"/>
    <s v="CPS"/>
    <s v="DIRECTA"/>
    <s v="GALVIS TOLOZA LEIDY MARCELA"/>
    <s v="2.3.2.02.02.009.03"/>
    <d v="2023-03-02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ÁCTER TEMPORAL PARA CONTRIBUIR EN EL DESARROLLO DE LAS ACTIVIDADES ADMINISTRATIVAS, DE SEGUIMIENTO Y MEDICIÓN DE LA CALIDAD DE LOS SERVICIOS QUE SE PRESTAN A TRAVÉS DE LOS TRES CENTROS DE DESARROLLO EMPRESARIAL DE BUCARAMANGA -CDE. CPS-090-2023, DURACIÓN SIETE (07) MESES."/>
    <s v=" CPS-090"/>
    <s v="CPS"/>
    <s v="DIRECTA"/>
    <s v="GALVIS TOLOZA LEIDY MARCELA"/>
    <s v="2.3.2.02.02.009.03"/>
    <d v="2023-03-02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 SOMOS LOCALES DE LOS CENTROS DE DESARROLLO EMPRESARIAL CDE"/>
    <s v="029-2023"/>
    <s v="CPS"/>
    <s v="DIRECTA"/>
    <s v="GAMARRA GRANADOS ANDRES FELIPE"/>
    <s v="2.3.2.02.02.009.03"/>
    <d v="2023-01-23T00:00:00"/>
    <n v="26600000"/>
    <n v="26600000"/>
    <n v="4813333"/>
    <s v="https://community.secop.gov.co/Public/Tendering/OpportunityDetail/Index?noticeUID=CO1.NTC.3809278&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APOYAR LAS ACCIONES ENCAMINADAS A LA GENERACIÓN DE ALIANZAS Y/O CONVENIOS QUE CONLLEVEN AUNAR ESFUERZOS QUE PERMITAN LA FORMALIZACIÓN E IMPLEMENTACIÓN DE LAS ESTRATEGIAS DE INCLUSIÓN PRODUCTIVA DEL IMEBU"/>
    <s v="055-2023"/>
    <s v="CPS"/>
    <s v="DIRECTA"/>
    <s v="GARCIA RODRIGUEZ ANGELICA MARIA"/>
    <s v="2.3.2.02.02.009.03"/>
    <d v="2023-01-31T00:00:00"/>
    <n v="24000000"/>
    <n v="24000000"/>
    <n v="4000000"/>
    <s v="https://community.secop.gov.co/Public/Tendering/OpportunityDetail/Index?noticeUID=CO1.NTC.3889734&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COMO COMUNICADOR SOCIAL, QUE CONTRIBUYA A LA VISIBILIZACIÓN EN COMUNAS Y CORREGIMIENTOS DEL MUNICIPIO DE BUCARAMANGA, DE LA GESTIÓN, ARTICULACIÓN E IMPLEMENTACIÓN DE PLANES, PROGRAMAS Y PROYECTOS DEL IMEBU EN EL MARCO DE LA ESTRATEGIA DE REACTIVACIÓN ECONÓMICA."/>
    <s v="041-2023"/>
    <s v="CPS"/>
    <s v="DIRECTA"/>
    <s v="GOMEZ RINCON JESSICA FERNANDA"/>
    <s v="2.3.2.02.02.009.03"/>
    <d v="2023-01-26T00:00:00"/>
    <n v="13200000"/>
    <n v="13200000"/>
    <n v="3850000"/>
    <s v="https://community.secop.gov.co/Public/Tendering/OpportunityDetail/Index?noticeUID=CO1.NTC.3844340&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NTRIBUIR EN LAS GESTIONES TÉCNICAS REQUERIDAS DENTRO DE LA AGENDA DE EVENTOS COMERCIALES Y/O DIÁLOGOS CON LOS GRUPOS DE VALOR Y/O SECTORES PRIORIZADOS DE LAS COMUNAS Y/O CORREGIMIENTOS DE BUCARAMANGA, EN EL MARCO DE LA ESTRATEGIA PARA LA REACTIVACIÓN ECONÓMICA -SOMOS LOCALES DEL IMEBU. "/>
    <s v="072-2023"/>
    <s v="CPS"/>
    <s v="DIRECTA"/>
    <s v="GUEVARA JAIMES OSCAR DAVID"/>
    <s v="2.3.2.02.02.009.03"/>
    <d v="2023-02-10T00:00:00"/>
    <n v="15200000"/>
    <n v="15200000"/>
    <n v="2660000"/>
    <s v="https://community.secop.gov.co/Public/Tendering/OpportunityDetail/Index?noticeUID=CO1.NTC.3971925&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DE APOYO ASISTENCIAL Y LOGISTICO EN LA GESTION DE PROYECTOS QUE PERMITAN GENERAR ACCIONES Y ESTRATEGIAS QUE COADYUVEN A LA REACTIVACION Y FORTALECIMIENTO DE NEGOCIOS NUEVOS Y EXISTENTES DE LOS MICRO, PEQUEÑOS Y MEDIANOS EMPRESARIOS Y/O EMPRENDEDORES, CON EL FIN DE PROMOVER E IMPULSAR EL DESARROLLO ECONOMICO DEL MUNICIPIO DE BUCARAMANGA, A TRAVES DEL CENTRO DE DESARROLLO EMPRESARIAL - CAFE MADRID. CPS-092-2023, DURACIÓN SEIS (06) MESES."/>
    <s v=" CPS-092-2023"/>
    <s v="CPS"/>
    <s v="DIRECTA"/>
    <s v="HERRERA AMOROCHO LUZ ANGELA"/>
    <s v="2.3.2.02.02.009.03"/>
    <d v="2023-03-10T00:00:00"/>
    <n v="8268750"/>
    <n v="8268750"/>
    <m/>
    <m/>
  </r>
  <r>
    <x v="2"/>
    <s v="Implementar en 4.000 mipymes planes estratégicos orientados a innovar y/o incorporación tecnológica en áreas empresariales estratégicas con apoyo de Universidades y actores económicos clave."/>
    <n v="2020680010074"/>
    <x v="1"/>
    <s v="PRESTAR LOS SERVICIOS DE APOYO ASISTENCIAL Y LOGISTICO EN LA GESTION DE PROYECTOS QUE PERMITAN GENERAR ACCIONES Y ESTRATEGIAS QUE COADYUVEN A LA REACTIVACION Y FORTALECIMIENTO DE NEGOCIOS NUEVOS Y EXISTENTES DE LOS MICRO, PEQUEÑOS Y MEDIANOS EMPRESARIOS Y/O EMPRENDEDORES, CON EL FIN DE PROMOVER E IMPULSAR EL DESARROLLO ECONOMICO DEL MUNICIPIO DE BUCARAMANGA, A TRAVES DEL CENTRO DE DESARROLLO EMPRESARIAL - CAFE MADRID. CPS-092-2023, DURACIÓN SEIS (06) MESES."/>
    <s v=" CPS-092-2023"/>
    <s v="CPS"/>
    <s v="DIRECTA"/>
    <s v="HERRERA AMOROCHO LUZ ANGELA"/>
    <s v="2.3.2.02.02.009.03"/>
    <d v="2023-03-10T00:00:00"/>
    <n v="8268750"/>
    <n v="826875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HAPINERO. CPS-094-2023, DURACIÓN SEIS (06) MESES."/>
    <s v=" CPS-094-2023"/>
    <s v="CPS"/>
    <s v="DIRECTA"/>
    <s v="HERRERRA AMOROCHO MABEL LUCIA"/>
    <s v="2.3.2.02.02.009.03"/>
    <d v="2023-03-14T00:00:00"/>
    <n v="11400000"/>
    <n v="114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L CENTRO DE DESARROLLO EMPRESARIAL - CHAPINERO. CPS-094-2023, DURACIÓN SEIS (06) MESES."/>
    <s v=" CPS-094-2023"/>
    <s v="CPS"/>
    <s v="DIRECTA"/>
    <s v="HERRERRA AMOROCHO MABEL LUCIA"/>
    <s v="2.3.2.02.02.009.03"/>
    <d v="2023-03-14T00:00:00"/>
    <n v="11400000"/>
    <n v="114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ADYUVAR EN LAS ACTIVIDADES OPERATIVAS, LOGÍSTICAS Y ASISTENCIALES REQUERIDAS QUE SE REQUIERAN DENTRO DE LA AGENDA DE EVENTOS COMERCIALES Y LOS ESPACIOS DE DIÁLOGOS ESTABLECIDOS EN LOS GRUPOS DE VALOR Y/O SECTORES PRIORIZADOS EN LAS COMUNAS Y/O CORREGIMIENTOS DE BUCARAMANGA. CPS -081-2023, DURACIÓN SEIS (06) MESES."/>
    <s v=" CPS-082"/>
    <s v="CPS"/>
    <s v="DIRECTA"/>
    <s v="LEON VELASCO JAVIER FERNANDO"/>
    <s v="2.3.2.02.02.009.03"/>
    <d v="2023-03-01T00:00:00"/>
    <n v="16537500"/>
    <n v="165375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ADYUVAR EN LAS ACTIVIDADES OPERATIVAS, LOGÍSTICAS Y ASISTENCIALES QUE SE REQUIERAN DENTRO DE LA AGENDA DE EVENTOS COMERCIALES Y LOS ESPACIOS DE DIÁLOGOS ESTABLECIDOS EN LOS GRUPOS DE VALOR Y/O SECTORES PRIORIZADOS EN LAS COMUNAS Y/O CORREGIMIENTOS DE BUCARAMANGA."/>
    <s v="047-2023"/>
    <s v="CPS"/>
    <s v="DIRECTA"/>
    <s v="MALDONADO MALDONADO ISADORA"/>
    <s v="2.3.2.02.02.009.03"/>
    <d v="2023-01-27T00:00:00"/>
    <n v="16537500"/>
    <n v="16537500"/>
    <n v="3123750"/>
    <s v="https://community.secop.gov.co/Public/Tendering/OpportunityDetail/Index?noticeUID=CO1.NTC.3855217&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4-2023, DURACIÓN SIETE (07) MESES."/>
    <s v=" CPS-084"/>
    <s v="CPS"/>
    <s v="DIRECTA"/>
    <s v="MARTINEZ CORTES VALENTINA"/>
    <s v="2.3.2.02.02.009.03"/>
    <d v="2023-03-01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HAPINERO. CPS-084-2023, DURACIÓN SIETE (07) MESES."/>
    <s v=" CPS-084"/>
    <s v="CPS"/>
    <s v="DIRECTA"/>
    <s v="MARTINEZ CORTES VALENTINA"/>
    <s v="2.3.2.02.02.009.03"/>
    <d v="2023-03-01T00:00:00"/>
    <n v="13300000"/>
    <n v="13300000"/>
    <m/>
    <m/>
  </r>
  <r>
    <x v="4"/>
    <s v="Desarrollar el modelo CDE virtual para que amplíen la cobertura en la ciudad."/>
    <n v="2020680010074"/>
    <x v="1"/>
    <s v="PRESTAR LOS SERVICIOS DE APOYO A LA GESTIÓN PARA COADYUVAR EN EL ANALISIS, DISEÑO, DESARROLLO, PRUEBAS, MANTENIMIENTO Y SOPORTE DE LOS SISTEMAS DE INFORMACIÓN Y SOLUCIONES DIGITALES, SEGÚN LAS NECESIDADES DE LOS CENTRO DE DESARROLLO EMPRESARIAL DEL IMEBU"/>
    <s v="085-2023"/>
    <s v="CPS"/>
    <s v="DIRECTA"/>
    <s v="MAXIMILIANO GARAVITO"/>
    <s v="2.3.2.02.02.009.03"/>
    <d v="2023-03-01T00:00:00"/>
    <n v="18900000"/>
    <n v="18900000"/>
    <n v="0"/>
    <s v="https://community.secop.gov.co/Public/Tendering/OpportunityDetail/Index?noticeUID=CO1.NTC.4091147&amp;isFromPublicArea=True&amp;isModal=False_x000a_"/>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COADYUVAR EN LA DIVULGACION, VINCULACION Y PROMOCION ENTRE LOS EMPRENDEDORES Y EMPRESARIOS DE BUCARAMANGA DE LA ESTARTEGIA MARKETPLACE, EN EL MARCO DEL PROYECTO DE FORTALECIMIENTO DEL CENTRO DE DESARROLLO EMPRESARIAL Y DE EMPLEABILIDAD DE BUCARAMANGA -CDE. CPS-098-2023, DURACIÓN SEIS (06) MESES."/>
    <s v=" CPS-098-2023"/>
    <s v="CPS"/>
    <s v="DIRECTA"/>
    <s v="MEJIA RESTREPO JULIAN ANDRES"/>
    <s v="2.3.2.02.02.009.03"/>
    <d v="2023-03-23T00:00:00"/>
    <n v="22800000"/>
    <n v="228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COMO ABOGADO DE CARÁCTER TEMPORAL PARA BRINDAR ASESORÍA JURÍDICA Y ACOMPAÑAR A EMPRESARIOS Y EMPRENDEDORES EN LAS GESTIONES REQUERIDAS DENTRO DEL PROCESO DE FORMALIZACIÓN EMPRESARIAL DEL CENTRO DE DESARROLLO EMPRESARIAL - CDE DEL IMEBU."/>
    <s v="042-2023"/>
    <s v="CPS"/>
    <s v="DIRECTA"/>
    <s v="MUÑOZ MARTINEZ CARLOS FERNANDO"/>
    <s v="2.3.2.02.02.009.03"/>
    <d v="2023-01-26T00:00:00"/>
    <n v="33600000"/>
    <n v="33600000"/>
    <n v="4900000"/>
    <s v="https://community.secop.gov.co/Public/Tendering/OpportunityDetail/Index?noticeUID=CO1.NTC.3845257&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ARRENDAR EL GRAN SALON, UBICADO EN EL CENTRO DE CONVENCIONES DE NEOMUNDO PARA EL MONTAJE Y DESMONTAJE DEL EVENTO &quot;WIME WELLNESS INTERNACIONAL DE MEDICINA ESTETICA&quot;, COMO APOYO A LOS PROCESOS DE REACTIVACOIN ECONOMICA Y DEL EMPLEO ADELANTADOS POR EL IMEBU EN EL MUNICIPIO DE BUCARAMANGA, DE ACUERDO A LAS ESPECIFICACIONES TECNICAS ESTABLECIDAS POR EL INSTITUTO MUNICIPAL DE EMPLEO Y FOMENTO EMPRESARIAL DEL MUNICIPIO DE BUCARAMANGA -IMEBU. CD-004-2023."/>
    <s v="004-2023"/>
    <s v="CD"/>
    <s v="DIRECTA"/>
    <s v="NEOMUNDO"/>
    <s v="2.3.2.02.02.007.02"/>
    <d v="2023-03-17T00:00:00"/>
    <n v="22200000"/>
    <n v="222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KENNEDY. CPS-088-2023, DURACIÓN SIETE (07) MESES."/>
    <s v=" CPS-088"/>
    <s v="CPS"/>
    <s v="DIRECTA"/>
    <s v="PARADA RIVERA LORENA ANDREA"/>
    <s v="2.3.2.02.02.009.03"/>
    <d v="2023-03-02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KENNEDY. CPS-088-2023, DURACIÓN SIETE (07) MESES."/>
    <s v=" CPS-088"/>
    <s v="CPS"/>
    <s v="DIRECTA"/>
    <s v="PARADA RIVERA LORENA ANDREA"/>
    <s v="2.3.2.02.02.009.03"/>
    <d v="2023-03-02T00:00:00"/>
    <n v="13300000"/>
    <n v="13300000"/>
    <m/>
    <m/>
  </r>
  <r>
    <x v="4"/>
    <s v="Desarrollar el modelo CDE virtual para que amplíen la cobertura en la ciudad."/>
    <n v="2020680010074"/>
    <x v="1"/>
    <s v="PRESTAR LOS SERVICIOS PROFESIONALES DE CARÁCTER TEMPORAL PARA APOYAR A LA SUBDIRECCIÓN TÉCNICA EN LA PLANEACIÓN, DISEÑO Y CONSTRUCCIÓN DE HERRAMIENTAS QUE PERMITAN UN AVANCE TECNOLÓGICO, DENTRO DE LA ESTRATEGIA MARKETPLACE EN EL MARCO DEL PROYECTO DE FORTALECIMIENTO DEL CENTRO DE DESARROLLO EMPRESARIAL Y DE EMPLEABIBLIDAD DE BUCARAMANGA - CDE."/>
    <s v="067-2023"/>
    <s v="CPS"/>
    <s v="DIRECTA"/>
    <s v="PEDROZO LOPEZ DAVID ALEJANDRO"/>
    <s v="2.3.2.02.02.009.03"/>
    <d v="2023-02-08T00:00:00"/>
    <n v="24500000"/>
    <n v="24500000"/>
    <n v="2683333"/>
    <s v="https://community.secop.gov.co/Public/Tendering/OpportunityDetail/Index?noticeUID=CO1.NTC.3950346&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ADYUVAR EN LA COORDINACIÓN Y PUESTA EN MARCHA DE LAS ACCIONES REQUERIDAS DENTRO DE LA ESTRATEGIA MARKETPLACE, EN EL MARCO DEL PROYECTO DE FORTALECIMIENTO DEL CENTRO DE DESARROLLO EMPRESARIAL Y DE EMPLEABILIDAD DE BUCARAMANGA - CDE"/>
    <s v="038-2023"/>
    <s v="CPS"/>
    <s v="DIRECTA"/>
    <s v="QUINTANILLA CALDERON MARLON GIOVANNY"/>
    <s v="2.3.2.02.02.009.03"/>
    <d v="2023-01-26T00:00:00"/>
    <n v="40800000"/>
    <n v="40800000"/>
    <n v="5950000"/>
    <s v="https://community.secop.gov.co/Public/Tendering/OpportunityDetail/Index?noticeUID=CO1.NTC.3843662&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ADYUVAR EN LA PUESTA EN MARCHA Y ACOMPAÑAMIENTO DE LAS ACCIONES REALIZADAS DENTRO DE LA ESTRATEGIA DE REACTIVACIÓN ECONÓMICA - SOMOS LOCALES DEL IMEBU."/>
    <s v="039-2023"/>
    <s v="CPS"/>
    <s v="DIRECTA"/>
    <s v="QUINTERO TIRADO PEDRO ANGEL"/>
    <s v="2.3.2.02.02.009.03"/>
    <d v="2023-01-26T00:00:00"/>
    <n v="40800000"/>
    <n v="40800000"/>
    <n v="5950000"/>
    <s v="https://community.secop.gov.co/Public/Tendering/OpportunityDetail/Index?noticeUID=CO1.NTC.3844414&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APOYAR A LA SUBDIRECCIÓN TÉCNICA EN LA PLANEACIÓN, DISEÑO Y CONSTRUCCIÓN DE HERRAMIENTAS QUE PERMITAN UN AVANCE TECNOLÓGICO, DENTRO DE LA ESTRATEGIA MARKETPLACE EN EL MARCO DEL PROYECTO DE FORTALECIMIENTO DEL CENTRO DE DESARROLLO EMPRESARIAL Y DE EMPLEABILIDAD DE BUCARAMANGA -CDE. "/>
    <s v="068-2023"/>
    <s v="CPS"/>
    <s v="DIRECTA"/>
    <s v="RAMIREZ RIVERA ROBERTO CARLOS"/>
    <s v="2.3.2.02.02.009.03"/>
    <d v="2023-02-08T00:00:00"/>
    <n v="16000000"/>
    <n v="16000000"/>
    <n v="3066667"/>
    <s v="https://community.secop.gov.co/Public/Tendering/OpportunityDetail/Index?noticeUID=CO1.NTC.3950668&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APOYAR LOS DIFERENTES EVENTOS COMERCIALES QUE CONTRIBUYEN A LA GENERACIÓN DE ESTRATEGIAS PARA IMPULSAR A LOS EMPRESARIOS Y/O EMPRENDEDORES PRIORIZADOS EN EL MARCO DE LA ESTRATEGIA DE REACTIVACIÓN ECONÓMICA SOMOS LOCALES CDE"/>
    <s v="028-2023"/>
    <s v="CPS"/>
    <s v="DIRECTA"/>
    <s v="RAVELO PEREZ BEATRIZ"/>
    <s v="2.3.2.02.02.009.03"/>
    <d v="2023-01-23T00:00:00"/>
    <n v="40000000"/>
    <n v="40000000"/>
    <n v="6333333"/>
    <s v="https://community.secop.gov.co/Public/Tendering/OpportunityDetail/Index?noticeUID=CO1.NTC.3808454&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 LOS CENTROS DE DESARROLLO EMPRESARIAL. CPS-101-2023, DURACIÓN SIETE (07) MESES."/>
    <s v=" CPS-102"/>
    <s v="CPS"/>
    <s v="DIRECTA"/>
    <s v="RIATIGA JAIMES ALEXANDER"/>
    <s v="2.3.2.02.02.009.03"/>
    <d v="2023-03-24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ON DE PROYECTOS QUE PERMITAN GENERAR ACCIONES Y ESTRATEGIAS QUE COADYUVEN A LA REACTIVACION Y FORTALECIMIENTO DE NEGOCIOS NUEVOS Y EXISTENTES, CON EL FIN DE PROMOVER E IMPULSAR EL DESARROLLO ECONOMICO DEL MUNICIPIO DE BUCARAMANGA, A TRAVES DE LOS CENTROS DE DESARROLLO EMPRESARIAL. CPS-101-2023, DURACIÓN SIETE (07) MESES."/>
    <s v=" CPS-102"/>
    <s v="CPS"/>
    <s v="DIRECTA"/>
    <s v="RIATIGA JAIMES ALEXANDER"/>
    <s v="2.3.2.02.02.009.03"/>
    <d v="2023-03-24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AFÉ MADRID. CPS-081-2023, DURACIÓN SIETE (07) MESES."/>
    <s v=" CPS-081"/>
    <s v="CPS"/>
    <s v="DIRECTA"/>
    <s v="ROJAS FLOREZ ILEANA"/>
    <s v="2.3.2.02.02.009.03"/>
    <d v="2023-03-01T00:00:00"/>
    <n v="13300000"/>
    <n v="13300000"/>
    <m/>
    <m/>
  </r>
  <r>
    <x v="2"/>
    <s v="Implementar en 4.000 mipymes planes estratégicos orientados a innovar y/o incorporación tecnológica en áreas empresariales estratégicas con apoyo de Universidades y actores económicos clave."/>
    <n v="2020680010074"/>
    <x v="1"/>
    <s v="PRESTAR LOS SERVICIOS PROFESIONALES DE CARACTER TEMPORAL PARA APOYAR A LOS MICRO, PEQUEÑOS Y MEDIANOS EMPRESARIOS Y/O EMPRENDEDORES, EN LA GESTIÓN DE PROYECTOS QUE PERMITAN GENERAR ACCIONES Y ESTRATEGIAS QUE COADYUVEN A LA REACTIVACIÓN Y FORTALECIMIENTO DE NEGOCIOS NUEVOS Y EXISTENTES, CON EL FIN DE PROMOVER E IMPULSAR EL DESARROLLO ECONÓMICO DEL MUNICIPIO DE BUCARAMANGA, A TRAVÉS DEL CENTRO DE DESARROLLO EMPRESARIAL - CAFÉ MADRID. CPS-081-2023, DURACIÓN SIETE (07) MESES."/>
    <s v=" CPS-081"/>
    <s v="CPS"/>
    <s v="DIRECTA"/>
    <s v="ROJAS FLOREZ ILEANA"/>
    <s v="2.3.2.02.02.009.03"/>
    <d v="2023-03-01T00:00:00"/>
    <n v="13300000"/>
    <n v="133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NTRIBUIR EN LAS ACTIVIDADES LOGÍSTICAS Y TÉCNICAS QUE SE REQUIERAN EN LAS COMUNAS Y/O CORREGIMIENTOS DE BUCARAMANGA, DENTRO DE LA ESTRATEGIA DE REACTIVACIÓN ECONOMICA - SOMOS LOCALES DEL IMEBU."/>
    <s v="044-2023"/>
    <s v="CPS"/>
    <s v="DIRECTA"/>
    <s v="SALAZAR URIBE XIOMARA MARCELA"/>
    <s v="2.3.2.02.02.009.03"/>
    <d v="2023-01-26T00:00:00"/>
    <n v="19293750"/>
    <n v="19293750"/>
    <n v="3215625"/>
    <s v="https://community.secop.gov.co/Public/Tendering/OpportunityDetail/Index?noticeUID=CO1.NTC.3846318&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DE APOYO A LA GESTIÓN PARA COADYUVAR EN EL DESARROLLO DE EVENTOS, ACTIVIDADES ADMINISTRATIVAS, DE SEGUIMIENTO Y MEDICIÓN DE LA CALIDAD DE LOS SERVICIOS QUE SE PRESTAN A TRAVÉS DE LOS TRES CENTRO DE DESARROLLO EMPRESARIAL DE BUCARAMANGA -CDE. CPS-100-2023. DURACIÓN SEIS (06) MESES."/>
    <s v=" CPS-100-2023"/>
    <s v="CPS"/>
    <s v="DIRECTA"/>
    <s v="SANCHEZ MONTOYA DIANA CAROLINA"/>
    <s v="2.3.2.02.02.009.03"/>
    <d v="2023-03-23T00:00:00"/>
    <n v="16800000"/>
    <n v="16800000"/>
    <m/>
    <m/>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QUE COADYUVE EN EL DISEÑO Y TRANSFORMACIÓN VIRTUAL DE FORMA EFICIENTE E INTERACTIVA, A TRAVÉS DE LA MAQUETACIÓN DE SITIOS WEB PARA EMPRENDEDORES Y/O EMPRESARIOS PRIORIZADOS DENTRO DE LA ESTRATEGIA MARKETPLACE, EN EL MARCO DEL PROYECTO DE FORTALECIMIENTO DEL CENTRO DE DESARROLLO EMPRESARIAL Y DE EMPLEABILIDAD DE BUCARAMANGA - CDE"/>
    <s v="045-2023"/>
    <s v="CPS"/>
    <s v="DIRECTA"/>
    <s v="SANGUINO QUINTERO GERSON JAHIR"/>
    <s v="2.3.2.02.02.009.03"/>
    <d v="2023-01-26T00:00:00"/>
    <n v="20000000"/>
    <n v="20000000"/>
    <n v="4533333"/>
    <s v="https://community.secop.gov.co/Public/Tendering/OpportunityDetail/Index?noticeUID=CO1.NTC.3851687&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SOMOS LOCALES DE LOS CENTROS DE DESARROLLO EMPRESARIAL CDE"/>
    <s v="040-2023"/>
    <s v="CPS"/>
    <s v="DIRECTA"/>
    <s v="SILVA GUTIERREZ ANDRES ALBERTO"/>
    <s v="2.3.2.02.02.009.03"/>
    <d v="2023-01-26T00:00:00"/>
    <n v="26600000"/>
    <n v="26600000"/>
    <n v="4433333"/>
    <s v="https://community.secop.gov.co/Public/Tendering/OpportunityDetail/Index?noticeUID=CO1.NTC.3844515&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ON PARA CONTRIBUIR EN LAS ACTIVIDADES LOGÍSTICAS Y TÉCNICAS QUE SE REQUIERAN EN LAS COMUNAS Y/O CORREGIMIENTOS DE BUCARAMANGA, DENTRO DE LA ESTRATEGIA DE REACTIVACIÓN ECONOMICA SOMOS LOCALES DEL IMEBU"/>
    <s v="046-2023"/>
    <s v="CPS"/>
    <s v="DIRECTA"/>
    <s v="URIBE CAMACHO NATALIA ANDREA"/>
    <s v="2.3.2.02.02.009.03"/>
    <d v="2023-01-27T00:00:00"/>
    <n v="11025000"/>
    <n v="11025000"/>
    <n v="3123750"/>
    <s v="https://community.secop.gov.co/Public/Tendering/OpportunityDetail/Index?noticeUID=CO1.NTC.3851942&amp;isFromPublicArea=True&amp;isModal=False"/>
  </r>
  <r>
    <x v="1"/>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TODAVÍA NO SE CUENTA CON CONTRATO"/>
    <s v="TODAVÍA NO SE CUENTA CON CONTRATO"/>
    <s v="CPS"/>
    <s v="DIRECTA"/>
    <s v="ASESORES CDE"/>
    <s v="2.3.2.02.02.009.03"/>
    <m/>
    <n v="19425000"/>
    <m/>
    <m/>
    <m/>
  </r>
  <r>
    <x v="2"/>
    <s v="Implementar en 4.000 mipymes planes estratégicos orientados a innovar y/o incorporación tecnológica en áreas empresariales estratégicas con apoyo de Universidades y actores económicos clave."/>
    <n v="2020680010074"/>
    <x v="1"/>
    <s v="TODAVÍA NO SE CUENTA CON CONTRATO"/>
    <s v="TODAVÍA NO SE CUENTA CON CONTRATO"/>
    <s v="CPS"/>
    <s v="DIRECTA"/>
    <s v="ASESORES CDE"/>
    <s v="2.3.2.02.02.009.03"/>
    <m/>
    <n v="19425000"/>
    <m/>
    <m/>
    <m/>
  </r>
  <r>
    <x v="5"/>
    <s v="Intervenir a 4.000 empresas y/o emprendimientos mediante apalancamiento financiero orientado a realizar inversión en innovación y/o tecnología en la zona rural y urbana con enfoque diferencial."/>
    <n v="2022680010037"/>
    <x v="2"/>
    <s v="PRESTACIÓN DE SERVICIOS PROFESIONALES A LA SUBDIRECCIÓN TÉCNICA PARA CONTRIBUIR CON LAS ACTIVIDADES COMERCIALES Y TÉCNICAS REQUERIDAS EN EL MARCO DEL PROGRAMA BANCA CIUDADANA, QUE CONTRIBUYAN A INCENTIVAR EL EMPRENDIMIENTO Y FORTALECER LAS EMPRESAS, MICOREMPRESAS Y UNIDADES PRODUCTIVAS DEL SECTOR. "/>
    <s v="065-2023"/>
    <s v="CPS"/>
    <s v="DIRECTA"/>
    <s v="BONILLA CORTEZ SARAY VIVIANA"/>
    <s v="2.3.2.02.02.009.02"/>
    <d v="2023-02-02T00:00:00"/>
    <n v="10500000"/>
    <n v="10500000"/>
    <n v="1450000"/>
    <s v="https://community.secop.gov.co/Public/Tendering/OpportunityDetail/Index?noticeUID=CO1.NTC.3904108&amp;isFromPublicArea=True&amp;isModal=False"/>
  </r>
  <r>
    <x v="6"/>
    <s v="Otorgar 6.000 créditos a emprendimientos y mipymes de orientados a capital de trabajo o destinos de inversión diferente a innovación y/o tecnología en zonas urbanas y rurales."/>
    <n v="2022680010037"/>
    <x v="2"/>
    <s v="PRESTACIÓN DE SERVICIOS PROFESIONALES A LA SUBDIRECCIÓN TÉCNICA PARA CONTRIBUIR CON LAS ACTIVIDADES COMERCIALES Y TÉCNICAS REQUERIDAS EN EL MARCO DEL PROGRAMA BANCA CIUDADANA, QUE CONTRIBUYAN A INCENTIVAR EL EMPRENDIMIENTO Y FORTALECER LAS EMPRESAS, MICOREMPRESAS Y UNIDADES PRODUCTIVAS DEL SECTOR."/>
    <s v="065-2023"/>
    <s v="CPS"/>
    <s v="DIRECTA"/>
    <s v="BONILLA CORTEZ SARAY VIVIANA"/>
    <s v="2.3.2.02.02.009.02"/>
    <d v="2023-02-02T00:00:00"/>
    <n v="10500000"/>
    <n v="10500000"/>
    <n v="1450000"/>
    <s v="https://community.secop.gov.co/Public/Tendering/OpportunityDetail/Index?noticeUID=CO1.NTC.3904108&amp;isFromPublicArea=True&amp;isModal=False"/>
  </r>
  <r>
    <x v="5"/>
    <s v="Intervenir a 4.000 empresas y/o emprendimientos mediante apalancamiento financiero orientado a realizar inversión en innovación y/o tecnología en la zona rural y urbana con enfoque diferencial."/>
    <n v="2022680010037"/>
    <x v="2"/>
    <s v="PRESTAR LOS SERVICIOS PROFESIONALES DE CARÁCTER TEMPORAL PARA APOYAR LA COORDINACIÓN, ORIENTACIÓN Y ACOMPAÑAMIENTO AL PROGRAMA MISIONAL BANCA CIUDADANA DEL IMEBU."/>
    <s v="051-2023"/>
    <s v="CPS"/>
    <s v="DIRECTA"/>
    <s v="CARMEN ELENA RAMOS PRIETO"/>
    <s v="2.3.2.02.02.009.02"/>
    <d v="2023-01-31T00:00:00"/>
    <n v="20400000"/>
    <n v="20400000"/>
    <n v="2550000"/>
    <s v="https://community.secop.gov.co/Public/Tendering/OpportunityDetail/Index?noticeUID=CO1.NTC.3881721&amp;isFromPublicArea=True&amp;isModal=False"/>
  </r>
  <r>
    <x v="6"/>
    <s v="Otorgar 6.000 créditos a emprendimientos y mipymes de orientados a capital de trabajo o destinos de inversión diferente a innovación y/o tecnología en zonas urbanas y rurales."/>
    <n v="2022680010037"/>
    <x v="2"/>
    <s v="PRESTAR LOS SERVICIOS PROFESIONALES DE CARÁCTER TEMPORAL PARA APOYAR LA COORDINACIÓN, ORIENTACIÓN Y ACOMPAÑAMIENTO AL PROGRAMA MISIONAL BANCA CIUDADANA DEL IMEBU."/>
    <s v="051-2023"/>
    <s v="CPS"/>
    <s v="DIRECTA"/>
    <s v="CARMEN ELENA RAMOS PRIETO"/>
    <s v="2.3.2.02.02.009.02"/>
    <d v="2023-01-31T00:00:00"/>
    <n v="20400000"/>
    <n v="20400000"/>
    <n v="2550000"/>
    <s v="https://community.secop.gov.co/Public/Tendering/OpportunityDetail/Index?noticeUID=CO1.NTC.3881721&amp;isFromPublicArea=True&amp;isModal=False"/>
  </r>
  <r>
    <x v="5"/>
    <s v="Intervenir a 4.000 empresas y/o emprendimientos mediante apalancamiento financiero orientado a realizar inversión en innovación y/o tecnología en la zona rural y urbana con enfoque diferencial."/>
    <n v="2022680010037"/>
    <x v="2"/>
    <s v="PRESTACIÓN DE SERVICIOS DE APOYO A LA GESTIÓN, PARA COADYUVAR EN LAS ACTIVIDADES COMERCIALES REQUERIDAS EN EL MARCO DEL PROGRAMA BANCA CIUDADANA DEL IMEBU, QUE CONTRIBUYAN A INCENTIVAR EL EMPRENDIMIENTO Y FORTALECER LAS EMPRESAS, MICROEMPRESAS Y UNIDADES PRODUCTIVAS EN LA CIUDAD DE BUCARAMANGA."/>
    <s v="077-2023"/>
    <s v="CPS"/>
    <s v="DIRECTA"/>
    <s v="GUTIERREZ LOSADA PAULA ANDREA"/>
    <s v="2.3.2.02.02.009.02"/>
    <d v="2023-02-21T00:00:00"/>
    <n v="9800000"/>
    <n v="9800000"/>
    <n v="466666.5"/>
    <s v="https://community.secop.gov.co/Public/Tendering/OpportunityDetail/Index?noticeUID=CO1.NTC.4042716&amp;isFromPublicArea=True&amp;isModal=False_x000a_"/>
  </r>
  <r>
    <x v="6"/>
    <s v="Otorgar 6.000 créditos a emprendimientos y mipymes de orientados a capital de trabajo o destinos de inversión diferente a innovación y/o tecnología en zonas urbanas y rurales."/>
    <n v="2022680010037"/>
    <x v="2"/>
    <s v="PRESTACIÓN DE SERVICIOS DE APOYO A LA GESTIÓN, PARA COADYUVAR EN LAS ACTIVIDADES COMERCIALES REQUERIDAS EN EL MARCO DEL PROGRAMA BANCA CIUDADANA DEL IMEBU, QUE CONTRIBUYAN A INCENTIVAR EL EMPRENDIMIENTO Y FORTALECER LAS EMPRESAS, MICROEMPRESAS Y UNIDADES PRODUCTIVAS EN LA CIUDAD DE BUCARAMANGA."/>
    <s v="077-2023"/>
    <s v="CPS"/>
    <s v="DIRECTA"/>
    <s v="GUTIERREZ LOSADA PAULA ANDREA"/>
    <s v="2.3.2.02.02.009.02"/>
    <d v="2023-02-21T00:00:00"/>
    <n v="9800000"/>
    <n v="9800000"/>
    <n v="466666.5"/>
    <s v="https://community.secop.gov.co/Public/Tendering/OpportunityDetail/Index?noticeUID=CO1.NTC.4042716&amp;isFromPublicArea=True&amp;isModal=False_x000a_"/>
  </r>
  <r>
    <x v="5"/>
    <s v="Intervenir a 4.000 empresas y/o emprendimientos mediante apalancamiento financiero orientado a realizar inversión en innovación y/o tecnología en la zona rural y urbana con enfoque diferencial."/>
    <n v="2022680010037"/>
    <x v="2"/>
    <s v="PRESTAR LOS SERVICIOS PROFESIONALES DE CARACTER TEMPORAL PARA APOYAR LA PROMOCION, DIVULGACION Y GESTION ADMINISTRATIVA DEL SUPERVISOR DE CONVENIOS, EN EL MARCO DEL PROGRAMA BANCA CIUDADANA ADELANTADO POR EL INSTITUTO MUNICIPAL DE EMPLEO Y FOMENTO EMPRESARIAL DEL MUNICIPIO DE BUCARAMANGA -IMEBU. CPS-095-2023, DURACIÓN SIETE (07) MESES."/>
    <s v="095-2023"/>
    <s v="CPS"/>
    <s v="DIRECTA"/>
    <s v="JAIMES HERRERA AILEN JOHANA"/>
    <s v="2.3.2.02.02.009.02"/>
    <d v="2023-03-14T00:00:00"/>
    <n v="12862500"/>
    <n v="12862500"/>
    <m/>
    <m/>
  </r>
  <r>
    <x v="6"/>
    <s v="Otorgar 6.000 créditos a emprendimientos y mipymes de orientados a capital de trabajo o destinos de inversión diferente a innovación y/o tecnología en zonas urbanas y rurales."/>
    <n v="2022680010037"/>
    <x v="2"/>
    <s v="PRESTAR LOS SERVICIOS PROFESIONALES DE CARACTER TEMPORAL PARA APOYAR LA PROMOCION, DIVULGACION Y GESTION ADMINISTRATIVA DEL SUPERVISOR DE CONVENIOS, EN EL MARCO DEL PROGRAMA BANCA CIUDADANA ADELANTADO POR EL INSTITUTO MUNICIPAL DE EMPLEO Y FOMENTO EMPRESARIAL DEL MUNICIPIO DE BUCARAMANGA -IMEBU. CPS-095-2023, DURACIÓN SIETE (07) MESES."/>
    <s v="095-2023"/>
    <s v="CPS"/>
    <s v="DIRECTA"/>
    <s v="JAIMES HERRERA AILEN JOHANA"/>
    <s v="2.3.2.02.02.009.02"/>
    <d v="2023-03-14T00:00:00"/>
    <n v="12862500"/>
    <n v="12862500"/>
    <m/>
    <m/>
  </r>
  <r>
    <x v="5"/>
    <s v="Intervenir a 4.000 empresas y/o emprendimientos mediante apalancamiento financiero orientado a realizar inversión en innovación y/o tecnología en la zona rural y urbana con enfoque diferencial."/>
    <n v="2022680010037"/>
    <x v="2"/>
    <s v="PRESTACIÓN DE SERVICIOS DE APOYO A LA GESTIÓN PARA CONTRIBUIR EN LA PROMOCIÓN, DIVULGACIÓN Y POSICIONAMIENTO DEL PROGRAMA BANCA CIUDADANA A CARGO DE LA SUBDIRECCIÓN TÉCNICA DEL INSTITUTO MUNICIPAL DE EMPLEO Y FOMENTO EMPRESARIAL DE BUCARAMANGA. CPS-099-2023, DURACIÓN TRES (03) MESES."/>
    <s v="099-2023"/>
    <s v="CPS"/>
    <s v="DIRECTA"/>
    <s v="LEAL MUTIS JENNIFER PAOLA"/>
    <s v="2.3.2.02.02.009.02"/>
    <d v="2023-03-23T00:00:00"/>
    <n v="4200000"/>
    <n v="4200000"/>
    <m/>
    <m/>
  </r>
  <r>
    <x v="6"/>
    <s v="Otorgar 6.000 créditos a emprendimientos y mipymes de orientados a capital de trabajo o destinos de inversión diferente a innovación y/o tecnología en zonas urbanas y rurales."/>
    <n v="2022680010037"/>
    <x v="2"/>
    <s v="PRESTACIÓN DE SERVICIOS DE APOYO A LA GESTIÓN PARA CONTRIBUIR EN LA PROMOCIÓN, DIVULGACIÓN Y POSICIONAMIENTO DEL PROGRAMA BANCA CIUDADANA A CARGO DE LA SUBDIRECCIÓN TÉCNICA DEL INSTITUTO MUNICIPAL DE EMPLEO Y FOMENTO EMPRESARIAL DE BUCARAMANGA. CPS-099-2023, DURACIÓN TRES (03) MESES."/>
    <s v="099-2023"/>
    <s v="CPS"/>
    <s v="DIRECTA"/>
    <s v="LEAL MUTIS JENNIFER PAOLA"/>
    <s v="2.3.2.02.02.009.02"/>
    <d v="2023-03-23T00:00:00"/>
    <n v="4200000"/>
    <n v="4200000"/>
    <m/>
    <m/>
  </r>
  <r>
    <x v="5"/>
    <s v="Intervenir a 4.000 empresas y/o emprendimientos mediante apalancamiento financiero orientado a realizar inversión en innovación y/o tecnología en la zona rural y urbana con enfoque diferencial."/>
    <n v="2022680010037"/>
    <x v="2"/>
    <s v="PRESTAR LOS SERVICIOS PROFESIONALES DE CARÁCTER TEMPORAL PARA APOYAR LA RECOLECCIÓN, CLASIFICACIÓN, ADMINISTRACIÓN, ANÁLISIS Y SEGUIMIENTO DE INFORMACIÓN EN EL MARCO DEL PROGRAMA BANCA CIUDADANA ADELANTADO POR EL INSTITUTO MUNICIPAL DE EMPLEO Y FOMENTO EMPRESARIAL DEL MUNICIPIO DE BUCARAMANGA -IMEBU."/>
    <s v="078-2023"/>
    <s v="CPS"/>
    <s v="DIRECTA"/>
    <s v="OVIEDO URIBE OMAR GABRIEL"/>
    <s v="2.3.2.02.02.009.02"/>
    <d v="2023-02-21T00:00:00"/>
    <n v="15200000"/>
    <n v="15200000"/>
    <n v="633333"/>
    <s v="https://community.secop.gov.co/Public/Tendering/OpportunityDetail/Index?noticeUID=CO1.NTC.4043122&amp;isFromPublicArea=True&amp;isModal=False"/>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2B14C0A-2893-4F74-9E5C-6981CA1D2597}" name="TablaDinámica1" cacheId="9"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3:C8" firstHeaderRow="1" firstDataRow="1" firstDataCol="1" rowPageCount="1" colPageCount="1"/>
  <pivotFields count="15">
    <pivotField axis="axisRow" showAll="0">
      <items count="12">
        <item x="0"/>
        <item x="3"/>
        <item x="4"/>
        <item x="1"/>
        <item x="2"/>
        <item x="5"/>
        <item x="6"/>
        <item m="1" x="9"/>
        <item m="1" x="8"/>
        <item m="1" x="7"/>
        <item m="1" x="10"/>
        <item t="default"/>
      </items>
    </pivotField>
    <pivotField showAll="0"/>
    <pivotField numFmtId="1" showAll="0"/>
    <pivotField axis="axisPage" multipleItemSelectionAllowed="1" showAll="0">
      <items count="6">
        <item h="1" x="2"/>
        <item h="1" m="1" x="3"/>
        <item h="1" m="1" x="4"/>
        <item x="1"/>
        <item h="1" x="0"/>
        <item t="default"/>
      </items>
    </pivotField>
    <pivotField showAll="0"/>
    <pivotField showAll="0"/>
    <pivotField showAll="0"/>
    <pivotField showAll="0"/>
    <pivotField showAll="0"/>
    <pivotField showAll="0"/>
    <pivotField showAll="0"/>
    <pivotField dataField="1" numFmtId="168" showAll="0"/>
    <pivotField showAll="0"/>
    <pivotField showAll="0"/>
    <pivotField showAll="0"/>
  </pivotFields>
  <rowFields count="1">
    <field x="0"/>
  </rowFields>
  <rowItems count="5">
    <i>
      <x v="1"/>
    </i>
    <i>
      <x v="2"/>
    </i>
    <i>
      <x v="3"/>
    </i>
    <i>
      <x v="4"/>
    </i>
    <i t="grand">
      <x/>
    </i>
  </rowItems>
  <colItems count="1">
    <i/>
  </colItems>
  <pageFields count="1">
    <pageField fld="3" hier="-1"/>
  </pageFields>
  <dataFields count="1">
    <dataField name="Suma de Total apropiado" fld="11" showDataAs="percentOfCol" baseField="0" baseItem="0" numFmtId="10"/>
  </dataFields>
  <formats count="3">
    <format dxfId="8">
      <pivotArea collapsedLevelsAreSubtotals="1" fieldPosition="0">
        <references count="1">
          <reference field="0" count="4">
            <x v="1"/>
            <x v="2"/>
            <x v="3"/>
            <x v="4"/>
          </reference>
        </references>
      </pivotArea>
    </format>
    <format dxfId="7">
      <pivotArea grandRow="1" outline="0" collapsedLevelsAreSubtotals="1" fieldPosition="0"/>
    </format>
    <format dxfId="6">
      <pivotArea outline="0" fieldPosition="0">
        <references count="1">
          <reference field="4294967294" count="1">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22" dT="2022-12-06T15:48:17.59" personId="{F492DF60-9B47-4D13-9E09-78D71DAA4C8C}" id="{BE81027A-3059-4CF0-878A-76B55764444D}">
    <text>Incluye capacitados en la estrategia de Formación a la Medida (CURSOS EMPLEO)</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3960919&amp;isFromPublicArea=True&amp;isModal=False" TargetMode="External"/><Relationship Id="rId13" Type="http://schemas.openxmlformats.org/officeDocument/2006/relationships/hyperlink" Target="https://community.secop.gov.co/Public/Tendering/OpportunityDetail/Index?noticeUID=CO1.NTC.3737730&amp;isFromPublicArea=True&amp;isModal=False" TargetMode="External"/><Relationship Id="rId18" Type="http://schemas.openxmlformats.org/officeDocument/2006/relationships/hyperlink" Target="https://community.secop.gov.co/Public/Tendering/OpportunityDetail/Index?noticeUID=CO1.NTC.3799911&amp;isFromPublicArea=True&amp;isModal=False" TargetMode="External"/><Relationship Id="rId26" Type="http://schemas.openxmlformats.org/officeDocument/2006/relationships/hyperlink" Target="https://community.secop.gov.co/Public/Tendering/OpportunityDetail/Index?noticeUID=CO1.NTC.3937628&amp;isFromPublicArea=True&amp;isModal=False" TargetMode="External"/><Relationship Id="rId3" Type="http://schemas.openxmlformats.org/officeDocument/2006/relationships/hyperlink" Target="https://community.secop.gov.co/Public/Tendering/OpportunityDetail/Index?noticeUID=CO1.NTC.4043122&amp;isFromPublicArea=True&amp;isModal=False" TargetMode="External"/><Relationship Id="rId21" Type="http://schemas.openxmlformats.org/officeDocument/2006/relationships/hyperlink" Target="https://community.secop.gov.co/Public/Tendering/OpportunityDetail/Index?noticeUID=CO1.NTC.3826016&amp;isFromPublicArea=True&amp;isModal=False" TargetMode="External"/><Relationship Id="rId7" Type="http://schemas.openxmlformats.org/officeDocument/2006/relationships/hyperlink" Target="https://community.secop.gov.co/Public/Tendering/OpportunityDetail/Index?noticeUID=CO1.NTC.4041724&amp;isFromPublicArea=True&amp;isModal=False" TargetMode="External"/><Relationship Id="rId12" Type="http://schemas.openxmlformats.org/officeDocument/2006/relationships/hyperlink" Target="https://community.secop.gov.co/Public/Tendering/OpportunityDetail/Index?noticeUID=CO1.NTC.4042521&amp;isFromPublicArea=True&amp;isModal=False" TargetMode="External"/><Relationship Id="rId17" Type="http://schemas.openxmlformats.org/officeDocument/2006/relationships/hyperlink" Target="https://community.secop.gov.co/Public/Tendering/OpportunityDetail/Index?noticeUID=CO1.NTC.3791938&amp;isFromPublicArea=True&amp;isModal=False" TargetMode="External"/><Relationship Id="rId25" Type="http://schemas.openxmlformats.org/officeDocument/2006/relationships/hyperlink" Target="https://community.secop.gov.co/Public/Tendering/OpportunityDetail/Index?noticeUID=CO1.NTC.3903446&amp;isFromPublicArea=True&amp;isModal=False" TargetMode="External"/><Relationship Id="rId2" Type="http://schemas.openxmlformats.org/officeDocument/2006/relationships/hyperlink" Target="https://community.secop.gov.co/Public/Tendering/OpportunityDetail/Index?noticeUID=CO1.NTC.4042716&amp;isFromPublicArea=True&amp;isModal=False" TargetMode="External"/><Relationship Id="rId16" Type="http://schemas.openxmlformats.org/officeDocument/2006/relationships/hyperlink" Target="https://community.secop.gov.co/Public/Tendering/OpportunityDetail/Index?noticeUID=CO1.NTC.3791383&amp;isFromPublicArea=True&amp;isModal=False" TargetMode="External"/><Relationship Id="rId20" Type="http://schemas.openxmlformats.org/officeDocument/2006/relationships/hyperlink" Target="https://community.secop.gov.co/Public/Tendering/OpportunityDetail/Index?noticeUID=CO1.NTC.3799885&amp;isFromPublicArea=True&amp;isModal=False" TargetMode="External"/><Relationship Id="rId1" Type="http://schemas.openxmlformats.org/officeDocument/2006/relationships/hyperlink" Target="https://community.secop.gov.co/Public/Tendering/OpportunityDetail/Index?noticeUID=CO1.NTC.3904108&amp;isFromPublicArea=True&amp;isModal=False" TargetMode="External"/><Relationship Id="rId6" Type="http://schemas.openxmlformats.org/officeDocument/2006/relationships/hyperlink" Target="https://community.secop.gov.co/Public/Tendering/OpportunityDetail/Index?noticeUID=CO1.NTC.4043122&amp;isFromPublicArea=True&amp;isModal=False" TargetMode="External"/><Relationship Id="rId11" Type="http://schemas.openxmlformats.org/officeDocument/2006/relationships/hyperlink" Target="https://community.secop.gov.co/Public/Tendering/OpportunityDetail/Index?noticeUID=CO1.NTC.4061054&amp;isFromPublicArea=True&amp;isModal=False" TargetMode="External"/><Relationship Id="rId24" Type="http://schemas.openxmlformats.org/officeDocument/2006/relationships/hyperlink" Target="https://community.secop.gov.co/Public/Tendering/OpportunityDetail/Index?noticeUID=CO1.NTC.3971950&amp;isFromPublicArea=True&amp;isModal=False" TargetMode="External"/><Relationship Id="rId5" Type="http://schemas.openxmlformats.org/officeDocument/2006/relationships/hyperlink" Target="https://community.secop.gov.co/Public/Tendering/OpportunityDetail/Index?noticeUID=CO1.NTC.4042716&amp;isFromPublicArea=True&amp;isModal=False" TargetMode="External"/><Relationship Id="rId15" Type="http://schemas.openxmlformats.org/officeDocument/2006/relationships/hyperlink" Target="https://community.secop.gov.co/Public/Tendering/OpportunityDetail/Index?noticeUID=CO1.NTC.3791324&amp;isFromPublicArea=True&amp;isModal=False" TargetMode="External"/><Relationship Id="rId23" Type="http://schemas.openxmlformats.org/officeDocument/2006/relationships/hyperlink" Target="https://community.secop.gov.co/Public/Tendering/OpportunityDetail/Index?noticeUID=CO1.NTC.3890617&amp;isFromPublicArea=True&amp;isModal=False" TargetMode="External"/><Relationship Id="rId10" Type="http://schemas.openxmlformats.org/officeDocument/2006/relationships/hyperlink" Target="https://community.secop.gov.co/Public/Tendering/OpportunityDetail/Index?noticeUID=CO1.NTC.3950668&amp;isFromPublicArea=True&amp;isModal=False" TargetMode="External"/><Relationship Id="rId19" Type="http://schemas.openxmlformats.org/officeDocument/2006/relationships/hyperlink" Target="https://community.secop.gov.co/Public/Tendering/OpportunityDetail/Index?noticeUID=CO1.NTC.3799885&amp;isFromPublicArea=True&amp;isModal=False" TargetMode="External"/><Relationship Id="rId4" Type="http://schemas.openxmlformats.org/officeDocument/2006/relationships/hyperlink" Target="https://community.secop.gov.co/Public/Tendering/OpportunityDetail/Index?noticeUID=CO1.NTC.3904108&amp;isFromPublicArea=True&amp;isModal=False" TargetMode="External"/><Relationship Id="rId9" Type="http://schemas.openxmlformats.org/officeDocument/2006/relationships/hyperlink" Target="https://community.secop.gov.co/Public/Tendering/OpportunityDetail/Index?noticeUID=CO1.NTC.3971925&amp;isFromPublicArea=True&amp;isModal=False" TargetMode="External"/><Relationship Id="rId14" Type="http://schemas.openxmlformats.org/officeDocument/2006/relationships/hyperlink" Target="https://community.secop.gov.co/Public/Tendering/OpportunityDetail/Index?noticeUID=CO1.NTC.3739125&amp;isFromPublicArea=True&amp;isModal=False" TargetMode="External"/><Relationship Id="rId22" Type="http://schemas.openxmlformats.org/officeDocument/2006/relationships/hyperlink" Target="https://community.secop.gov.co/Public/Tendering/OpportunityDetail/Index?noticeUID=CO1.NTC.3892090&amp;isFromPublicArea=True&amp;isModal=False" TargetMode="External"/><Relationship Id="rId27"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96AF5-5FCA-47DE-B374-7A9CAFFD2FAF}">
  <dimension ref="A1:AT31"/>
  <sheetViews>
    <sheetView showGridLines="0" tabSelected="1" zoomScale="64" zoomScaleNormal="80" workbookViewId="0">
      <selection activeCell="C9" sqref="C9"/>
    </sheetView>
  </sheetViews>
  <sheetFormatPr baseColWidth="10" defaultColWidth="0" defaultRowHeight="14.25" zeroHeight="1" x14ac:dyDescent="0.2"/>
  <cols>
    <col min="1" max="1" width="7.5703125" style="24" customWidth="1"/>
    <col min="2" max="2" width="30" style="1" customWidth="1"/>
    <col min="3" max="4" width="22.5703125" style="1" customWidth="1"/>
    <col min="5" max="5" width="61.5703125" style="1" customWidth="1"/>
    <col min="6" max="6" width="50" style="1" customWidth="1"/>
    <col min="7" max="7" width="19.140625" style="1" customWidth="1"/>
    <col min="8" max="8" width="49.85546875" style="1" customWidth="1"/>
    <col min="9" max="9" width="68.5703125" style="1" customWidth="1"/>
    <col min="10" max="10" width="16.85546875" style="1" customWidth="1"/>
    <col min="11" max="11" width="18.28515625" style="1" customWidth="1"/>
    <col min="12" max="12" width="17.28515625" style="1" customWidth="1"/>
    <col min="13" max="13" width="17" style="1" customWidth="1"/>
    <col min="14" max="14" width="8.28515625" style="1" hidden="1" customWidth="1"/>
    <col min="15" max="15" width="12.85546875" style="1" customWidth="1"/>
    <col min="16" max="16" width="22.140625" style="1" customWidth="1"/>
    <col min="17" max="17" width="23.85546875" style="49" customWidth="1"/>
    <col min="18" max="19" width="17.140625" style="1" customWidth="1"/>
    <col min="20" max="20" width="26.85546875" style="51" customWidth="1"/>
    <col min="21" max="21" width="15.5703125" style="1" customWidth="1"/>
    <col min="22" max="22" width="28.5703125" style="24" customWidth="1"/>
    <col min="23" max="23" width="22.28515625" style="24" bestFit="1" customWidth="1"/>
    <col min="24" max="27" width="22.140625" style="24" customWidth="1"/>
    <col min="28" max="28" width="29.28515625" style="1" customWidth="1"/>
    <col min="29" max="29" width="18.7109375" style="24" bestFit="1" customWidth="1"/>
    <col min="30" max="33" width="17.140625" style="24" customWidth="1"/>
    <col min="34" max="34" width="30.7109375" style="1" customWidth="1"/>
    <col min="35" max="39" width="17.140625" style="24" customWidth="1"/>
    <col min="40" max="40" width="21.5703125" style="1" customWidth="1"/>
    <col min="41" max="41" width="15.7109375" style="1" customWidth="1"/>
    <col min="42" max="42" width="22.5703125" style="51" customWidth="1"/>
    <col min="43" max="44" width="20" style="1" customWidth="1"/>
    <col min="45" max="46" width="12.85546875" style="1" customWidth="1"/>
    <col min="47" max="16384" width="12.85546875" style="1" hidden="1"/>
  </cols>
  <sheetData>
    <row r="1" spans="1:44" ht="15" customHeight="1" x14ac:dyDescent="0.2">
      <c r="A1" s="406" t="s">
        <v>0</v>
      </c>
      <c r="B1" s="407"/>
      <c r="C1" s="407"/>
      <c r="D1" s="407"/>
      <c r="E1" s="407"/>
      <c r="F1" s="407"/>
      <c r="G1" s="407"/>
      <c r="H1" s="407"/>
      <c r="I1" s="407"/>
      <c r="J1" s="407"/>
      <c r="K1" s="407"/>
      <c r="L1" s="407"/>
      <c r="M1" s="407"/>
      <c r="N1" s="407"/>
      <c r="O1" s="407"/>
      <c r="P1" s="407"/>
      <c r="Q1" s="407"/>
      <c r="R1" s="407"/>
      <c r="S1" s="407"/>
      <c r="T1" s="407"/>
      <c r="U1" s="407"/>
      <c r="V1" s="407"/>
      <c r="W1" s="407"/>
      <c r="X1" s="407"/>
      <c r="Y1" s="407"/>
      <c r="Z1" s="407"/>
      <c r="AA1" s="407"/>
      <c r="AB1" s="407"/>
      <c r="AC1" s="407"/>
      <c r="AD1" s="407"/>
      <c r="AE1" s="407"/>
      <c r="AF1" s="407"/>
      <c r="AG1" s="407"/>
      <c r="AH1" s="407"/>
      <c r="AI1" s="407"/>
      <c r="AJ1" s="407"/>
      <c r="AK1" s="407"/>
      <c r="AL1" s="407"/>
      <c r="AM1" s="407"/>
      <c r="AN1" s="407"/>
      <c r="AO1" s="408"/>
      <c r="AP1" s="412" t="s">
        <v>1</v>
      </c>
      <c r="AQ1" s="412"/>
      <c r="AR1" s="412"/>
    </row>
    <row r="2" spans="1:44" ht="15" x14ac:dyDescent="0.2">
      <c r="A2" s="409"/>
      <c r="B2" s="410"/>
      <c r="C2" s="410"/>
      <c r="D2" s="410"/>
      <c r="E2" s="410"/>
      <c r="F2" s="410"/>
      <c r="G2" s="410"/>
      <c r="H2" s="410"/>
      <c r="I2" s="410"/>
      <c r="J2" s="410"/>
      <c r="K2" s="410"/>
      <c r="L2" s="410"/>
      <c r="M2" s="410"/>
      <c r="N2" s="410"/>
      <c r="O2" s="410"/>
      <c r="P2" s="410"/>
      <c r="Q2" s="410"/>
      <c r="R2" s="410"/>
      <c r="S2" s="410"/>
      <c r="T2" s="410"/>
      <c r="U2" s="410"/>
      <c r="V2" s="410"/>
      <c r="W2" s="410"/>
      <c r="X2" s="410"/>
      <c r="Y2" s="410"/>
      <c r="Z2" s="410"/>
      <c r="AA2" s="410"/>
      <c r="AB2" s="410"/>
      <c r="AC2" s="410"/>
      <c r="AD2" s="410"/>
      <c r="AE2" s="410"/>
      <c r="AF2" s="410"/>
      <c r="AG2" s="410"/>
      <c r="AH2" s="410"/>
      <c r="AI2" s="410"/>
      <c r="AJ2" s="410"/>
      <c r="AK2" s="410"/>
      <c r="AL2" s="410"/>
      <c r="AM2" s="410"/>
      <c r="AN2" s="410"/>
      <c r="AO2" s="411"/>
      <c r="AP2" s="412" t="s">
        <v>2</v>
      </c>
      <c r="AQ2" s="412"/>
      <c r="AR2" s="412"/>
    </row>
    <row r="3" spans="1:44" ht="15" customHeight="1" x14ac:dyDescent="0.2">
      <c r="A3" s="409"/>
      <c r="B3" s="410"/>
      <c r="C3" s="410"/>
      <c r="D3" s="410"/>
      <c r="E3" s="410"/>
      <c r="F3" s="410"/>
      <c r="G3" s="410"/>
      <c r="H3" s="410"/>
      <c r="I3" s="410"/>
      <c r="J3" s="410"/>
      <c r="K3" s="410"/>
      <c r="L3" s="410"/>
      <c r="M3" s="410"/>
      <c r="N3" s="410"/>
      <c r="O3" s="410"/>
      <c r="P3" s="410"/>
      <c r="Q3" s="410"/>
      <c r="R3" s="410"/>
      <c r="S3" s="410"/>
      <c r="T3" s="410"/>
      <c r="U3" s="410"/>
      <c r="V3" s="410"/>
      <c r="W3" s="410"/>
      <c r="X3" s="410"/>
      <c r="Y3" s="410"/>
      <c r="Z3" s="410"/>
      <c r="AA3" s="410"/>
      <c r="AB3" s="410"/>
      <c r="AC3" s="410"/>
      <c r="AD3" s="410"/>
      <c r="AE3" s="410"/>
      <c r="AF3" s="410"/>
      <c r="AG3" s="410"/>
      <c r="AH3" s="410"/>
      <c r="AI3" s="410"/>
      <c r="AJ3" s="410"/>
      <c r="AK3" s="410"/>
      <c r="AL3" s="410"/>
      <c r="AM3" s="410"/>
      <c r="AN3" s="410"/>
      <c r="AO3" s="411"/>
      <c r="AP3" s="413" t="s">
        <v>3</v>
      </c>
      <c r="AQ3" s="414"/>
      <c r="AR3" s="415"/>
    </row>
    <row r="4" spans="1:44" ht="15" x14ac:dyDescent="0.2">
      <c r="A4" s="409"/>
      <c r="B4" s="410"/>
      <c r="C4" s="410"/>
      <c r="D4" s="410"/>
      <c r="E4" s="410"/>
      <c r="F4" s="410"/>
      <c r="G4" s="410"/>
      <c r="H4" s="410"/>
      <c r="I4" s="410"/>
      <c r="J4" s="410"/>
      <c r="K4" s="410"/>
      <c r="L4" s="410"/>
      <c r="M4" s="410"/>
      <c r="N4" s="410"/>
      <c r="O4" s="410"/>
      <c r="P4" s="410"/>
      <c r="Q4" s="410"/>
      <c r="R4" s="410"/>
      <c r="S4" s="410"/>
      <c r="T4" s="410"/>
      <c r="U4" s="410"/>
      <c r="V4" s="410"/>
      <c r="W4" s="410"/>
      <c r="X4" s="410"/>
      <c r="Y4" s="410"/>
      <c r="Z4" s="410"/>
      <c r="AA4" s="410"/>
      <c r="AB4" s="410"/>
      <c r="AC4" s="410"/>
      <c r="AD4" s="410"/>
      <c r="AE4" s="410"/>
      <c r="AF4" s="410"/>
      <c r="AG4" s="410"/>
      <c r="AH4" s="410"/>
      <c r="AI4" s="410"/>
      <c r="AJ4" s="410"/>
      <c r="AK4" s="410"/>
      <c r="AL4" s="410"/>
      <c r="AM4" s="410"/>
      <c r="AN4" s="410"/>
      <c r="AO4" s="411"/>
      <c r="AP4" s="416" t="s">
        <v>4</v>
      </c>
      <c r="AQ4" s="416"/>
      <c r="AR4" s="416"/>
    </row>
    <row r="5" spans="1:44" ht="15" x14ac:dyDescent="0.2">
      <c r="A5" s="404" t="s">
        <v>5</v>
      </c>
      <c r="B5" s="404"/>
      <c r="C5" s="404"/>
      <c r="D5" s="405">
        <v>44992</v>
      </c>
      <c r="E5" s="405"/>
      <c r="F5" s="405"/>
      <c r="G5" s="405"/>
      <c r="H5" s="2"/>
      <c r="I5" s="2"/>
      <c r="J5" s="2"/>
      <c r="K5" s="2"/>
      <c r="L5" s="2"/>
      <c r="M5" s="3"/>
      <c r="N5" s="3"/>
      <c r="O5" s="3"/>
      <c r="P5" s="3"/>
      <c r="Q5" s="4"/>
      <c r="R5" s="3"/>
      <c r="S5" s="3"/>
      <c r="T5" s="5"/>
      <c r="U5" s="3"/>
      <c r="V5" s="6"/>
      <c r="W5" s="6"/>
      <c r="X5" s="6"/>
      <c r="Y5" s="6"/>
      <c r="Z5" s="6"/>
      <c r="AA5" s="6"/>
      <c r="AB5" s="3"/>
      <c r="AC5" s="6"/>
      <c r="AD5" s="6"/>
      <c r="AE5" s="6"/>
      <c r="AF5" s="6"/>
      <c r="AG5" s="6"/>
      <c r="AH5" s="3"/>
      <c r="AI5" s="6"/>
      <c r="AJ5" s="6"/>
      <c r="AK5" s="6"/>
      <c r="AL5" s="6"/>
      <c r="AM5" s="6"/>
      <c r="AN5" s="3"/>
      <c r="AO5" s="3"/>
      <c r="AP5" s="7"/>
      <c r="AQ5" s="3"/>
      <c r="AR5" s="8"/>
    </row>
    <row r="6" spans="1:44" ht="15" x14ac:dyDescent="0.2">
      <c r="A6" s="395" t="s">
        <v>6</v>
      </c>
      <c r="B6" s="395"/>
      <c r="C6" s="395"/>
      <c r="D6" s="396">
        <v>45016</v>
      </c>
      <c r="E6" s="396"/>
      <c r="F6" s="396"/>
      <c r="G6" s="397"/>
      <c r="H6" s="9"/>
      <c r="I6" s="9"/>
      <c r="J6" s="9"/>
      <c r="K6" s="9"/>
      <c r="L6" s="9"/>
      <c r="M6" s="3"/>
      <c r="N6" s="3"/>
      <c r="O6" s="3"/>
      <c r="P6" s="3"/>
      <c r="Q6" s="4"/>
      <c r="R6" s="3"/>
      <c r="S6" s="3"/>
      <c r="T6" s="7"/>
      <c r="U6" s="3"/>
      <c r="V6" s="6"/>
      <c r="W6" s="6"/>
      <c r="X6" s="6"/>
      <c r="Y6" s="6"/>
      <c r="Z6" s="6"/>
      <c r="AA6" s="6"/>
      <c r="AB6" s="3"/>
      <c r="AC6" s="6"/>
      <c r="AD6" s="6"/>
      <c r="AE6" s="6"/>
      <c r="AF6" s="6"/>
      <c r="AG6" s="6"/>
      <c r="AH6" s="3"/>
      <c r="AI6" s="6"/>
      <c r="AJ6" s="6"/>
      <c r="AK6" s="6"/>
      <c r="AL6" s="6"/>
      <c r="AM6" s="6"/>
      <c r="AN6" s="3"/>
      <c r="AO6" s="3"/>
      <c r="AP6" s="7"/>
      <c r="AQ6" s="10"/>
      <c r="AR6" s="11"/>
    </row>
    <row r="7" spans="1:44" ht="15" customHeight="1" x14ac:dyDescent="0.2">
      <c r="A7" s="59"/>
      <c r="B7" s="398" t="s">
        <v>7</v>
      </c>
      <c r="C7" s="398"/>
      <c r="D7" s="398"/>
      <c r="E7" s="398"/>
      <c r="F7" s="398"/>
      <c r="G7" s="398" t="s">
        <v>8</v>
      </c>
      <c r="H7" s="398"/>
      <c r="I7" s="398"/>
      <c r="J7" s="398"/>
      <c r="K7" s="398"/>
      <c r="L7" s="398" t="s">
        <v>9</v>
      </c>
      <c r="M7" s="398"/>
      <c r="N7" s="398"/>
      <c r="O7" s="398"/>
      <c r="P7" s="398" t="s">
        <v>10</v>
      </c>
      <c r="Q7" s="398"/>
      <c r="R7" s="398"/>
      <c r="S7" s="398"/>
      <c r="T7" s="398"/>
      <c r="U7" s="398"/>
      <c r="V7" s="398"/>
      <c r="W7" s="399" t="s">
        <v>11</v>
      </c>
      <c r="X7" s="400"/>
      <c r="Y7" s="400"/>
      <c r="Z7" s="400"/>
      <c r="AA7" s="400"/>
      <c r="AB7" s="401"/>
      <c r="AC7" s="399" t="s">
        <v>12</v>
      </c>
      <c r="AD7" s="400"/>
      <c r="AE7" s="400"/>
      <c r="AF7" s="400"/>
      <c r="AG7" s="400"/>
      <c r="AH7" s="401"/>
      <c r="AI7" s="399" t="s">
        <v>13</v>
      </c>
      <c r="AJ7" s="400"/>
      <c r="AK7" s="400"/>
      <c r="AL7" s="400"/>
      <c r="AM7" s="400"/>
      <c r="AN7" s="401"/>
      <c r="AO7" s="402" t="s">
        <v>14</v>
      </c>
      <c r="AP7" s="402" t="s">
        <v>15</v>
      </c>
      <c r="AQ7" s="393" t="s">
        <v>16</v>
      </c>
      <c r="AR7" s="394"/>
    </row>
    <row r="8" spans="1:44" ht="45" x14ac:dyDescent="0.2">
      <c r="A8" s="12" t="s">
        <v>17</v>
      </c>
      <c r="B8" s="13" t="s">
        <v>18</v>
      </c>
      <c r="C8" s="12" t="s">
        <v>19</v>
      </c>
      <c r="D8" s="12" t="s">
        <v>20</v>
      </c>
      <c r="E8" s="12" t="s">
        <v>21</v>
      </c>
      <c r="F8" s="13" t="s">
        <v>22</v>
      </c>
      <c r="G8" s="13" t="s">
        <v>23</v>
      </c>
      <c r="H8" s="13" t="s">
        <v>24</v>
      </c>
      <c r="I8" s="13" t="s">
        <v>25</v>
      </c>
      <c r="J8" s="13" t="s">
        <v>26</v>
      </c>
      <c r="K8" s="13" t="s">
        <v>27</v>
      </c>
      <c r="L8" s="13" t="s">
        <v>28</v>
      </c>
      <c r="M8" s="13" t="s">
        <v>29</v>
      </c>
      <c r="N8" s="13" t="s">
        <v>30</v>
      </c>
      <c r="O8" s="13" t="s">
        <v>31</v>
      </c>
      <c r="P8" s="12" t="s">
        <v>32</v>
      </c>
      <c r="Q8" s="13" t="s">
        <v>33</v>
      </c>
      <c r="R8" s="13" t="s">
        <v>34</v>
      </c>
      <c r="S8" s="13" t="s">
        <v>35</v>
      </c>
      <c r="T8" s="13" t="s">
        <v>36</v>
      </c>
      <c r="U8" s="13" t="s">
        <v>37</v>
      </c>
      <c r="V8" s="13" t="s">
        <v>38</v>
      </c>
      <c r="W8" s="13" t="s">
        <v>33</v>
      </c>
      <c r="X8" s="13" t="s">
        <v>34</v>
      </c>
      <c r="Y8" s="13" t="s">
        <v>35</v>
      </c>
      <c r="Z8" s="13" t="s">
        <v>36</v>
      </c>
      <c r="AA8" s="13" t="s">
        <v>37</v>
      </c>
      <c r="AB8" s="14" t="s">
        <v>39</v>
      </c>
      <c r="AC8" s="13" t="s">
        <v>33</v>
      </c>
      <c r="AD8" s="13" t="s">
        <v>34</v>
      </c>
      <c r="AE8" s="13" t="s">
        <v>35</v>
      </c>
      <c r="AF8" s="13" t="s">
        <v>36</v>
      </c>
      <c r="AG8" s="13" t="s">
        <v>37</v>
      </c>
      <c r="AH8" s="13" t="s">
        <v>40</v>
      </c>
      <c r="AI8" s="13" t="s">
        <v>33</v>
      </c>
      <c r="AJ8" s="13" t="s">
        <v>34</v>
      </c>
      <c r="AK8" s="13" t="s">
        <v>35</v>
      </c>
      <c r="AL8" s="13" t="s">
        <v>36</v>
      </c>
      <c r="AM8" s="13" t="s">
        <v>37</v>
      </c>
      <c r="AN8" s="13" t="s">
        <v>41</v>
      </c>
      <c r="AO8" s="403"/>
      <c r="AP8" s="403"/>
      <c r="AQ8" s="13" t="s">
        <v>42</v>
      </c>
      <c r="AR8" s="13" t="s">
        <v>43</v>
      </c>
    </row>
    <row r="9" spans="1:44" ht="133.5" customHeight="1" x14ac:dyDescent="0.2">
      <c r="A9" s="12">
        <v>180</v>
      </c>
      <c r="B9" s="15" t="s">
        <v>44</v>
      </c>
      <c r="C9" s="16" t="s">
        <v>45</v>
      </c>
      <c r="D9" s="17" t="s">
        <v>46</v>
      </c>
      <c r="E9" s="18" t="s">
        <v>47</v>
      </c>
      <c r="F9" s="19" t="s">
        <v>48</v>
      </c>
      <c r="G9" s="68">
        <v>2020680010157</v>
      </c>
      <c r="H9" s="16" t="s">
        <v>49</v>
      </c>
      <c r="I9" s="16" t="s">
        <v>50</v>
      </c>
      <c r="J9" s="20">
        <v>44939</v>
      </c>
      <c r="K9" s="20">
        <v>45291</v>
      </c>
      <c r="L9" s="21">
        <v>3100</v>
      </c>
      <c r="M9" s="22">
        <f>SUM('Resultado por Estrategias'!C3:C9)</f>
        <v>294</v>
      </c>
      <c r="N9" s="23">
        <f t="shared" ref="N9:N14" si="0">IFERROR(AN9/$AN$22,"-")</f>
        <v>0.14078843369295552</v>
      </c>
      <c r="O9" s="55">
        <f t="shared" ref="O9:O21" si="1">IFERROR(IF(M9/L9&gt;1,(1*N9),((M9/L9)*N9)),"-")</f>
        <v>1.3352193388944812E-2</v>
      </c>
      <c r="P9" s="20" t="s">
        <v>51</v>
      </c>
      <c r="Q9" s="326">
        <f>Gastos_Febrero!$M$82</f>
        <v>695900000</v>
      </c>
      <c r="R9" s="63"/>
      <c r="S9" s="64"/>
      <c r="T9" s="62"/>
      <c r="U9" s="65"/>
      <c r="V9" s="66">
        <f>SUM(Q9:U9)</f>
        <v>695900000</v>
      </c>
      <c r="W9" s="326">
        <f>SUMIF(Contratación!$A$2:$A$270,"180",Contratación!$L$2:$L$270)</f>
        <v>614625000</v>
      </c>
      <c r="X9" s="62"/>
      <c r="Y9" s="62"/>
      <c r="Z9" s="62"/>
      <c r="AA9" s="62"/>
      <c r="AB9" s="66">
        <f>SUM(W9:AA9)</f>
        <v>614625000</v>
      </c>
      <c r="AC9" s="326">
        <f>SUMIF(Contratación!$A$2:$A$270,"180",Contratación!$M$2:$M$270)</f>
        <v>614625000</v>
      </c>
      <c r="AD9" s="67"/>
      <c r="AE9" s="62"/>
      <c r="AF9" s="62"/>
      <c r="AG9" s="62"/>
      <c r="AH9" s="66">
        <f>SUM(AC9:AG9)</f>
        <v>614625000</v>
      </c>
      <c r="AI9" s="326">
        <f>SUMIF(Contratación!$A$2:$A$270,"180",Contratación!$N$2:$N$270)</f>
        <v>52916875</v>
      </c>
      <c r="AJ9" s="62"/>
      <c r="AK9" s="62"/>
      <c r="AL9" s="62"/>
      <c r="AM9" s="62"/>
      <c r="AN9" s="66">
        <f>SUM(AI9:AM9)</f>
        <v>52916875</v>
      </c>
      <c r="AO9" s="25">
        <f t="shared" ref="AO9:AO14" si="2">IFERROR(AN9/AB9,"-")</f>
        <v>8.6096196868008942E-2</v>
      </c>
      <c r="AP9" s="30">
        <f>'Recursos Gestionados'!G2+'Recursos Gestionados'!G3</f>
        <v>174057134</v>
      </c>
      <c r="AQ9" s="26" t="s">
        <v>52</v>
      </c>
      <c r="AR9" s="27" t="s">
        <v>53</v>
      </c>
    </row>
    <row r="10" spans="1:44" ht="114" x14ac:dyDescent="0.2">
      <c r="A10" s="12">
        <v>182</v>
      </c>
      <c r="B10" s="15" t="s">
        <v>44</v>
      </c>
      <c r="C10" s="16" t="s">
        <v>45</v>
      </c>
      <c r="D10" s="17" t="s">
        <v>54</v>
      </c>
      <c r="E10" s="18" t="s">
        <v>55</v>
      </c>
      <c r="F10" s="19" t="s">
        <v>56</v>
      </c>
      <c r="G10" s="69">
        <v>2020680010074</v>
      </c>
      <c r="H10" s="28" t="s">
        <v>57</v>
      </c>
      <c r="I10" s="29" t="s">
        <v>58</v>
      </c>
      <c r="J10" s="20">
        <v>44944</v>
      </c>
      <c r="K10" s="20">
        <v>45291</v>
      </c>
      <c r="L10" s="21">
        <v>1</v>
      </c>
      <c r="M10" s="22">
        <v>1</v>
      </c>
      <c r="N10" s="23">
        <f t="shared" si="0"/>
        <v>0</v>
      </c>
      <c r="O10" s="56">
        <f t="shared" si="1"/>
        <v>0</v>
      </c>
      <c r="P10" s="20" t="s">
        <v>59</v>
      </c>
      <c r="Q10" s="326">
        <f>Gastos_Febrero!$M$80*'% METAS CDE'!F4</f>
        <v>543358223.32252502</v>
      </c>
      <c r="R10" s="63" t="s">
        <v>910</v>
      </c>
      <c r="S10" s="64"/>
      <c r="T10" s="62"/>
      <c r="U10" s="65"/>
      <c r="V10" s="66">
        <f>SUM(Q10:U10)</f>
        <v>543358223.32252502</v>
      </c>
      <c r="W10" s="326">
        <f>SUMIF(Contratación!$A$2:$A$270,"182",Contratación!$L$2:$L$270)</f>
        <v>499013636</v>
      </c>
      <c r="X10" s="62"/>
      <c r="Y10" s="62"/>
      <c r="Z10" s="62"/>
      <c r="AA10" s="62"/>
      <c r="AB10" s="66">
        <f>SUM(W10:AA10)</f>
        <v>499013636</v>
      </c>
      <c r="AC10" s="326">
        <f>SUMIF(Contratación!$A$2:$A$270,"182",Contratación!$M$2:$M$270)</f>
        <v>499013636</v>
      </c>
      <c r="AD10" s="62"/>
      <c r="AE10" s="62"/>
      <c r="AF10" s="62"/>
      <c r="AG10" s="62"/>
      <c r="AH10" s="66">
        <f>SUM(AC10:AG10)</f>
        <v>499013636</v>
      </c>
      <c r="AI10" s="326">
        <f>SUMIF(Contratación!$A$2:$A$270,"182",Contratación!$N$2:$N$270)</f>
        <v>0</v>
      </c>
      <c r="AJ10" s="62"/>
      <c r="AK10" s="62"/>
      <c r="AL10" s="62"/>
      <c r="AM10" s="62"/>
      <c r="AN10" s="66">
        <f>SUM(AI10:AM10)</f>
        <v>0</v>
      </c>
      <c r="AO10" s="25">
        <f t="shared" si="2"/>
        <v>0</v>
      </c>
      <c r="AP10" s="30">
        <f>'Recursos Gestionados'!G4+'Recursos Gestionados'!G5</f>
        <v>352090048</v>
      </c>
      <c r="AQ10" s="26" t="s">
        <v>52</v>
      </c>
      <c r="AR10" s="27" t="s">
        <v>53</v>
      </c>
    </row>
    <row r="11" spans="1:44" ht="85.5" x14ac:dyDescent="0.2">
      <c r="A11" s="12">
        <v>183</v>
      </c>
      <c r="B11" s="15" t="s">
        <v>44</v>
      </c>
      <c r="C11" s="16" t="s">
        <v>45</v>
      </c>
      <c r="D11" s="17" t="s">
        <v>54</v>
      </c>
      <c r="E11" s="18" t="s">
        <v>60</v>
      </c>
      <c r="F11" s="19" t="s">
        <v>61</v>
      </c>
      <c r="G11" s="69">
        <v>2020680010074</v>
      </c>
      <c r="H11" s="28" t="s">
        <v>57</v>
      </c>
      <c r="I11" s="29" t="s">
        <v>62</v>
      </c>
      <c r="J11" s="20">
        <v>44944</v>
      </c>
      <c r="K11" s="20">
        <v>45291</v>
      </c>
      <c r="L11" s="31">
        <v>0.3</v>
      </c>
      <c r="M11" s="32">
        <v>0</v>
      </c>
      <c r="N11" s="23">
        <f t="shared" si="0"/>
        <v>7.1391640218100441E-3</v>
      </c>
      <c r="O11" s="56">
        <f t="shared" si="1"/>
        <v>0</v>
      </c>
      <c r="P11" s="20" t="s">
        <v>63</v>
      </c>
      <c r="Q11" s="326">
        <f>Gastos_Febrero!$M$80*'% METAS CDE'!F5</f>
        <v>47256718.43604207</v>
      </c>
      <c r="R11" s="63"/>
      <c r="S11" s="64"/>
      <c r="T11" s="62"/>
      <c r="U11" s="65"/>
      <c r="V11" s="66">
        <f>SUM(Q11:U11)</f>
        <v>47256718.43604207</v>
      </c>
      <c r="W11" s="326">
        <f>SUMIF(Contratación!$A$2:$A$270,"183",Contratación!$L$2:$L$270)</f>
        <v>43400000</v>
      </c>
      <c r="X11" s="62"/>
      <c r="Y11" s="62"/>
      <c r="Z11" s="62"/>
      <c r="AA11" s="62"/>
      <c r="AB11" s="66">
        <f>SUM(W11:AA11)</f>
        <v>43400000</v>
      </c>
      <c r="AC11" s="326">
        <f>SUMIF(Contratación!$A$2:$A$270,"183",Contratación!$M$2:$M$270)</f>
        <v>43400000</v>
      </c>
      <c r="AD11" s="62"/>
      <c r="AE11" s="62"/>
      <c r="AF11" s="62"/>
      <c r="AG11" s="62"/>
      <c r="AH11" s="66">
        <f>SUM(AC11:AG11)</f>
        <v>43400000</v>
      </c>
      <c r="AI11" s="326">
        <f>SUMIF(Contratación!$A$2:$A$270,"183",Contratación!$N$2:$N$270)</f>
        <v>2683333</v>
      </c>
      <c r="AJ11" s="62"/>
      <c r="AK11" s="62"/>
      <c r="AL11" s="62"/>
      <c r="AM11" s="62"/>
      <c r="AN11" s="66">
        <f>SUM(AI11:AM11)</f>
        <v>2683333</v>
      </c>
      <c r="AO11" s="25">
        <f t="shared" si="2"/>
        <v>6.1827949308755757E-2</v>
      </c>
      <c r="AP11" s="30"/>
      <c r="AQ11" s="26" t="s">
        <v>52</v>
      </c>
      <c r="AR11" s="27" t="s">
        <v>53</v>
      </c>
    </row>
    <row r="12" spans="1:44" ht="115.15" customHeight="1" x14ac:dyDescent="0.2">
      <c r="A12" s="12">
        <v>184</v>
      </c>
      <c r="B12" s="15" t="s">
        <v>44</v>
      </c>
      <c r="C12" s="16" t="s">
        <v>45</v>
      </c>
      <c r="D12" s="17" t="s">
        <v>54</v>
      </c>
      <c r="E12" s="18" t="s">
        <v>64</v>
      </c>
      <c r="F12" s="19" t="s">
        <v>65</v>
      </c>
      <c r="G12" s="69">
        <v>2020680010074</v>
      </c>
      <c r="H12" s="28" t="s">
        <v>57</v>
      </c>
      <c r="I12" s="29" t="s">
        <v>62</v>
      </c>
      <c r="J12" s="20">
        <v>44944</v>
      </c>
      <c r="K12" s="20">
        <v>45291</v>
      </c>
      <c r="L12" s="33">
        <v>0</v>
      </c>
      <c r="M12" s="22">
        <f>SUM('Resultado por Estrategias'!C11:C16)</f>
        <v>599</v>
      </c>
      <c r="N12" s="23">
        <f t="shared" si="0"/>
        <v>0.38416766217221915</v>
      </c>
      <c r="O12" s="56" t="str">
        <f t="shared" si="1"/>
        <v>-</v>
      </c>
      <c r="P12" s="20" t="s">
        <v>66</v>
      </c>
      <c r="Q12" s="326">
        <f>Gastos_Febrero!$M$80*'% METAS CDE'!F6</f>
        <v>849535333.96210444</v>
      </c>
      <c r="R12" s="63"/>
      <c r="S12" s="64"/>
      <c r="T12" s="62"/>
      <c r="U12" s="65"/>
      <c r="V12" s="66">
        <f>SUM(Q12:U12)</f>
        <v>849535333.96210444</v>
      </c>
      <c r="W12" s="326">
        <f>SUMIF(Contratación!$A$2:$A$270,"184",Contratación!$L$2:$L$270)</f>
        <v>780203000</v>
      </c>
      <c r="X12" s="62"/>
      <c r="Y12" s="62"/>
      <c r="Z12" s="62"/>
      <c r="AA12" s="62"/>
      <c r="AB12" s="66">
        <f>SUM(W12:AA12)</f>
        <v>780203000</v>
      </c>
      <c r="AC12" s="326">
        <f>SUMIF(Contratación!$A$2:$A$270,"184",Contratación!$M$2:$M$270)</f>
        <v>760778000</v>
      </c>
      <c r="AD12" s="62"/>
      <c r="AE12" s="62"/>
      <c r="AF12" s="62"/>
      <c r="AG12" s="62"/>
      <c r="AH12" s="66">
        <f>SUM(AC12:AG12)</f>
        <v>760778000</v>
      </c>
      <c r="AI12" s="326">
        <f>SUMIF(Contratación!$A$2:$A$270,"184",Contratación!$N$2:$N$270)</f>
        <v>144393624</v>
      </c>
      <c r="AJ12" s="62"/>
      <c r="AK12" s="62"/>
      <c r="AL12" s="62"/>
      <c r="AM12" s="62"/>
      <c r="AN12" s="66">
        <f>SUM(AI12:AM12)</f>
        <v>144393624</v>
      </c>
      <c r="AO12" s="25">
        <f t="shared" si="2"/>
        <v>0.18507186463010267</v>
      </c>
      <c r="AP12" s="34"/>
      <c r="AQ12" s="35" t="s">
        <v>52</v>
      </c>
      <c r="AR12" s="27" t="s">
        <v>53</v>
      </c>
    </row>
    <row r="13" spans="1:44" ht="105" customHeight="1" x14ac:dyDescent="0.2">
      <c r="A13" s="12">
        <v>185</v>
      </c>
      <c r="B13" s="15" t="s">
        <v>44</v>
      </c>
      <c r="C13" s="16" t="s">
        <v>45</v>
      </c>
      <c r="D13" s="17" t="s">
        <v>54</v>
      </c>
      <c r="E13" s="18" t="s">
        <v>67</v>
      </c>
      <c r="F13" s="19" t="s">
        <v>68</v>
      </c>
      <c r="G13" s="69">
        <v>2020680010074</v>
      </c>
      <c r="H13" s="28" t="s">
        <v>57</v>
      </c>
      <c r="I13" s="29" t="s">
        <v>69</v>
      </c>
      <c r="J13" s="20">
        <v>44944</v>
      </c>
      <c r="K13" s="20">
        <v>45291</v>
      </c>
      <c r="L13" s="33">
        <v>2400</v>
      </c>
      <c r="M13" s="22">
        <f>SUM('Resultado por Estrategias'!C12:C17)</f>
        <v>496</v>
      </c>
      <c r="N13" s="23">
        <f t="shared" si="0"/>
        <v>0</v>
      </c>
      <c r="O13" s="56">
        <f t="shared" si="1"/>
        <v>0</v>
      </c>
      <c r="P13" s="20" t="s">
        <v>70</v>
      </c>
      <c r="Q13" s="326">
        <f>Gastos_Febrero!$M$80*'% METAS CDE'!F7</f>
        <v>214281724.27932847</v>
      </c>
      <c r="R13" s="63"/>
      <c r="S13" s="63"/>
      <c r="T13" s="62"/>
      <c r="U13" s="65"/>
      <c r="V13" s="66">
        <f>SUM(Q13:U13)</f>
        <v>214281724.27932847</v>
      </c>
      <c r="W13" s="326">
        <f>SUMIF(Contratación!$A$2:$A$270,"185",Contratación!$L$2:$L$270)</f>
        <v>196793750</v>
      </c>
      <c r="X13" s="62"/>
      <c r="Y13" s="62"/>
      <c r="Z13" s="62"/>
      <c r="AA13" s="62"/>
      <c r="AB13" s="66">
        <f>SUM(W13:AA13)</f>
        <v>196793750</v>
      </c>
      <c r="AC13" s="326">
        <f>SUMIF(Contratación!$A$2:$A$270,"185",Contratación!$M$2:$M$270)</f>
        <v>177368750</v>
      </c>
      <c r="AD13" s="62"/>
      <c r="AE13" s="62"/>
      <c r="AF13" s="62"/>
      <c r="AG13" s="62"/>
      <c r="AH13" s="66">
        <f>SUM(AC13:AG13)</f>
        <v>177368750</v>
      </c>
      <c r="AI13" s="326">
        <f>SUMIF(Contratación!$A$2:$A$270,"185",Contratación!$N$2:$N$270)</f>
        <v>0</v>
      </c>
      <c r="AJ13" s="62"/>
      <c r="AK13" s="62"/>
      <c r="AL13" s="62"/>
      <c r="AM13" s="62"/>
      <c r="AN13" s="66">
        <f>SUM(AI13:AM13)</f>
        <v>0</v>
      </c>
      <c r="AO13" s="25">
        <f t="shared" si="2"/>
        <v>0</v>
      </c>
      <c r="AP13" s="34"/>
      <c r="AQ13" s="35" t="s">
        <v>52</v>
      </c>
      <c r="AR13" s="27" t="s">
        <v>53</v>
      </c>
    </row>
    <row r="14" spans="1:44" ht="106.15" customHeight="1" x14ac:dyDescent="0.2">
      <c r="A14" s="53">
        <v>186</v>
      </c>
      <c r="B14" s="57" t="s">
        <v>44</v>
      </c>
      <c r="C14" s="57" t="s">
        <v>45</v>
      </c>
      <c r="D14" s="58" t="s">
        <v>71</v>
      </c>
      <c r="E14" s="60" t="s">
        <v>72</v>
      </c>
      <c r="F14" s="61" t="s">
        <v>73</v>
      </c>
      <c r="G14" s="69">
        <v>2020680010084</v>
      </c>
      <c r="H14" s="17" t="s">
        <v>74</v>
      </c>
      <c r="I14" s="29" t="s">
        <v>75</v>
      </c>
      <c r="J14" s="20">
        <v>44939</v>
      </c>
      <c r="K14" s="20">
        <v>45291</v>
      </c>
      <c r="L14" s="377">
        <v>2569</v>
      </c>
      <c r="M14" s="379">
        <f>SUM('Resultado por Estrategias'!C19)</f>
        <v>232</v>
      </c>
      <c r="N14" s="381">
        <f t="shared" si="0"/>
        <v>2.3545940076552883E-2</v>
      </c>
      <c r="O14" s="383">
        <f t="shared" si="1"/>
        <v>2.1263752813391471E-3</v>
      </c>
      <c r="P14" s="20" t="s">
        <v>76</v>
      </c>
      <c r="Q14" s="62">
        <v>3000000</v>
      </c>
      <c r="R14" s="63"/>
      <c r="S14" s="64"/>
      <c r="T14" s="62">
        <v>2000000</v>
      </c>
      <c r="U14" s="65"/>
      <c r="V14" s="385">
        <f>SUM(Q14:U15)</f>
        <v>617180000</v>
      </c>
      <c r="W14" s="62">
        <v>0</v>
      </c>
      <c r="X14" s="62"/>
      <c r="Y14" s="62"/>
      <c r="Z14" s="62"/>
      <c r="AA14" s="62"/>
      <c r="AB14" s="385">
        <f>SUM(W14:AA15)</f>
        <v>111362500</v>
      </c>
      <c r="AC14" s="62">
        <v>0</v>
      </c>
      <c r="AD14" s="62"/>
      <c r="AE14" s="62"/>
      <c r="AF14" s="62"/>
      <c r="AG14" s="62"/>
      <c r="AH14" s="385">
        <f>SUM(AC14:AG15)</f>
        <v>111362500</v>
      </c>
      <c r="AI14" s="62">
        <v>0</v>
      </c>
      <c r="AJ14" s="62"/>
      <c r="AK14" s="62"/>
      <c r="AL14" s="62"/>
      <c r="AM14" s="62"/>
      <c r="AN14" s="385">
        <f>SUM(AI14:AM15)</f>
        <v>8849999.5</v>
      </c>
      <c r="AO14" s="387">
        <f t="shared" si="2"/>
        <v>7.9470194185654958E-2</v>
      </c>
      <c r="AP14" s="389"/>
      <c r="AQ14" s="391" t="s">
        <v>52</v>
      </c>
      <c r="AR14" s="375" t="s">
        <v>53</v>
      </c>
    </row>
    <row r="15" spans="1:44" ht="106.15" customHeight="1" x14ac:dyDescent="0.2">
      <c r="A15" s="53">
        <v>186</v>
      </c>
      <c r="B15" s="57" t="s">
        <v>44</v>
      </c>
      <c r="C15" s="57" t="s">
        <v>45</v>
      </c>
      <c r="D15" s="58" t="s">
        <v>71</v>
      </c>
      <c r="E15" s="60" t="s">
        <v>72</v>
      </c>
      <c r="F15" s="61" t="s">
        <v>73</v>
      </c>
      <c r="G15" s="70">
        <v>2022680010037</v>
      </c>
      <c r="H15" s="17" t="s">
        <v>77</v>
      </c>
      <c r="I15" s="29" t="s">
        <v>78</v>
      </c>
      <c r="J15" s="20">
        <v>44949</v>
      </c>
      <c r="K15" s="20">
        <v>45291</v>
      </c>
      <c r="L15" s="378"/>
      <c r="M15" s="380"/>
      <c r="N15" s="382"/>
      <c r="O15" s="384" t="str">
        <f t="shared" si="1"/>
        <v>-</v>
      </c>
      <c r="P15" s="20" t="s">
        <v>76</v>
      </c>
      <c r="Q15" s="62">
        <v>612180000</v>
      </c>
      <c r="R15" s="63"/>
      <c r="S15" s="64"/>
      <c r="T15" s="62"/>
      <c r="U15" s="65"/>
      <c r="V15" s="386"/>
      <c r="W15" s="326">
        <f>SUMIF(Contratación!$A$2:$A$270,"186",Contratación!$L$2:$L$270)</f>
        <v>111362500</v>
      </c>
      <c r="X15" s="62"/>
      <c r="Y15" s="62"/>
      <c r="Z15" s="62"/>
      <c r="AA15" s="62"/>
      <c r="AB15" s="386"/>
      <c r="AC15" s="326">
        <f>SUMIF(Contratación!$A$2:$A$270,"186",Contratación!$M$2:$M$270)</f>
        <v>111362500</v>
      </c>
      <c r="AD15" s="62"/>
      <c r="AE15" s="62"/>
      <c r="AF15" s="62"/>
      <c r="AG15" s="62"/>
      <c r="AH15" s="386"/>
      <c r="AI15" s="326">
        <f>SUMIF(Contratación!$A$2:$A$270,"186",Contratación!$N$2:$N$270)</f>
        <v>8849999.5</v>
      </c>
      <c r="AJ15" s="62"/>
      <c r="AK15" s="62"/>
      <c r="AL15" s="62"/>
      <c r="AM15" s="62"/>
      <c r="AN15" s="386"/>
      <c r="AO15" s="388"/>
      <c r="AP15" s="390"/>
      <c r="AQ15" s="392"/>
      <c r="AR15" s="376"/>
    </row>
    <row r="16" spans="1:44" ht="91.15" customHeight="1" x14ac:dyDescent="0.2">
      <c r="A16" s="53">
        <v>187</v>
      </c>
      <c r="B16" s="57" t="s">
        <v>44</v>
      </c>
      <c r="C16" s="57" t="s">
        <v>45</v>
      </c>
      <c r="D16" s="58" t="s">
        <v>71</v>
      </c>
      <c r="E16" s="60" t="s">
        <v>79</v>
      </c>
      <c r="F16" s="61" t="s">
        <v>80</v>
      </c>
      <c r="G16" s="70">
        <v>2022680010037</v>
      </c>
      <c r="H16" s="17" t="s">
        <v>77</v>
      </c>
      <c r="I16" s="29" t="s">
        <v>78</v>
      </c>
      <c r="J16" s="20">
        <v>44949</v>
      </c>
      <c r="K16" s="20">
        <v>45291</v>
      </c>
      <c r="L16" s="377">
        <v>1263</v>
      </c>
      <c r="M16" s="379">
        <f>SUM('Resultado por Estrategias'!C20)</f>
        <v>341</v>
      </c>
      <c r="N16" s="381">
        <f>IFERROR(AN16/$AN$22,"-")</f>
        <v>2.3545940076552883E-2</v>
      </c>
      <c r="O16" s="383">
        <f t="shared" si="1"/>
        <v>6.3572173920067561E-3</v>
      </c>
      <c r="P16" s="20" t="s">
        <v>76</v>
      </c>
      <c r="Q16" s="62">
        <v>612180000</v>
      </c>
      <c r="R16" s="63"/>
      <c r="S16" s="64"/>
      <c r="T16" s="62"/>
      <c r="U16" s="65"/>
      <c r="V16" s="385">
        <f>SUM(Q16:U17)</f>
        <v>617180000</v>
      </c>
      <c r="W16" s="326">
        <f>SUMIF(Contratación!$A$2:$A$270,"186",Contratación!$L$2:$L$270)</f>
        <v>111362500</v>
      </c>
      <c r="X16" s="62"/>
      <c r="Y16" s="62"/>
      <c r="Z16" s="62"/>
      <c r="AA16" s="62"/>
      <c r="AB16" s="385">
        <f>SUM(W16:AA17)</f>
        <v>111362500</v>
      </c>
      <c r="AC16" s="326">
        <f>SUMIF(Contratación!$A$2:$A$270,"186",Contratación!$M$2:$M$270)</f>
        <v>111362500</v>
      </c>
      <c r="AD16" s="62"/>
      <c r="AE16" s="62"/>
      <c r="AF16" s="62"/>
      <c r="AG16" s="62"/>
      <c r="AH16" s="385">
        <f>SUM(AC16:AG17)</f>
        <v>111362500</v>
      </c>
      <c r="AI16" s="326">
        <f>SUMIF(Contratación!$A$2:$A$270,"186",Contratación!$N$2:$N$270)</f>
        <v>8849999.5</v>
      </c>
      <c r="AJ16" s="62"/>
      <c r="AK16" s="62"/>
      <c r="AL16" s="62"/>
      <c r="AM16" s="62"/>
      <c r="AN16" s="385">
        <f>SUM(AI16:AM17)</f>
        <v>8849999.5</v>
      </c>
      <c r="AO16" s="387">
        <f>IFERROR(AN16/AB16,"-")</f>
        <v>7.9470194185654958E-2</v>
      </c>
      <c r="AP16" s="389"/>
      <c r="AQ16" s="391" t="s">
        <v>52</v>
      </c>
      <c r="AR16" s="375" t="s">
        <v>53</v>
      </c>
    </row>
    <row r="17" spans="1:44" ht="91.15" customHeight="1" x14ac:dyDescent="0.2">
      <c r="A17" s="53">
        <v>187</v>
      </c>
      <c r="B17" s="57" t="s">
        <v>44</v>
      </c>
      <c r="C17" s="57" t="s">
        <v>45</v>
      </c>
      <c r="D17" s="58" t="s">
        <v>71</v>
      </c>
      <c r="E17" s="60" t="s">
        <v>79</v>
      </c>
      <c r="F17" s="61" t="s">
        <v>80</v>
      </c>
      <c r="G17" s="70">
        <v>2020680010084</v>
      </c>
      <c r="H17" s="17" t="s">
        <v>74</v>
      </c>
      <c r="I17" s="29" t="s">
        <v>75</v>
      </c>
      <c r="J17" s="20">
        <v>44939</v>
      </c>
      <c r="K17" s="20">
        <v>45291</v>
      </c>
      <c r="L17" s="378"/>
      <c r="M17" s="380"/>
      <c r="N17" s="382"/>
      <c r="O17" s="384" t="str">
        <f t="shared" si="1"/>
        <v>-</v>
      </c>
      <c r="P17" s="20" t="s">
        <v>76</v>
      </c>
      <c r="Q17" s="62">
        <v>3000000</v>
      </c>
      <c r="R17" s="63"/>
      <c r="S17" s="64"/>
      <c r="T17" s="62">
        <v>2000000</v>
      </c>
      <c r="U17" s="65"/>
      <c r="V17" s="386"/>
      <c r="W17" s="62"/>
      <c r="X17" s="62"/>
      <c r="Y17" s="62"/>
      <c r="Z17" s="62"/>
      <c r="AA17" s="62"/>
      <c r="AB17" s="386"/>
      <c r="AC17" s="62"/>
      <c r="AD17" s="62"/>
      <c r="AE17" s="62"/>
      <c r="AF17" s="62"/>
      <c r="AG17" s="62"/>
      <c r="AH17" s="386"/>
      <c r="AI17" s="62">
        <v>0</v>
      </c>
      <c r="AJ17" s="62"/>
      <c r="AK17" s="62"/>
      <c r="AL17" s="62"/>
      <c r="AM17" s="62"/>
      <c r="AN17" s="386"/>
      <c r="AO17" s="388"/>
      <c r="AP17" s="390"/>
      <c r="AQ17" s="392"/>
      <c r="AR17" s="376"/>
    </row>
    <row r="18" spans="1:44" ht="136.9" customHeight="1" x14ac:dyDescent="0.2">
      <c r="A18" s="12">
        <v>188</v>
      </c>
      <c r="B18" s="15" t="s">
        <v>44</v>
      </c>
      <c r="C18" s="16" t="s">
        <v>81</v>
      </c>
      <c r="D18" s="17" t="s">
        <v>82</v>
      </c>
      <c r="E18" s="18" t="s">
        <v>83</v>
      </c>
      <c r="F18" s="19" t="s">
        <v>84</v>
      </c>
      <c r="G18" s="71">
        <v>2022680010086</v>
      </c>
      <c r="H18" s="28" t="s">
        <v>85</v>
      </c>
      <c r="I18" s="16" t="s">
        <v>86</v>
      </c>
      <c r="J18" s="20">
        <v>44942</v>
      </c>
      <c r="K18" s="20">
        <v>45291</v>
      </c>
      <c r="L18" s="21">
        <v>0</v>
      </c>
      <c r="M18" s="22">
        <f>SUM('Resultado por Estrategias'!C21)</f>
        <v>1192</v>
      </c>
      <c r="N18" s="23">
        <f>IFERROR(AN18/$AN$22,"-")</f>
        <v>4.245404804671464E-2</v>
      </c>
      <c r="O18" s="56" t="str">
        <f t="shared" si="1"/>
        <v>-</v>
      </c>
      <c r="P18" s="20" t="s">
        <v>87</v>
      </c>
      <c r="Q18" s="326">
        <f>Gastos_Febrero!$M$83/3</f>
        <v>79590000</v>
      </c>
      <c r="R18" s="63"/>
      <c r="S18" s="64"/>
      <c r="T18" s="63"/>
      <c r="U18" s="65"/>
      <c r="V18" s="66">
        <f>SUM(Q18:U18)</f>
        <v>79590000</v>
      </c>
      <c r="W18" s="326">
        <f>SUMIF(Contratación!$A$2:$A$270,"188",Contratación!$L$2:$L$270)</f>
        <v>73203333.333333343</v>
      </c>
      <c r="X18" s="62"/>
      <c r="Y18" s="62"/>
      <c r="Z18" s="62"/>
      <c r="AA18" s="62"/>
      <c r="AB18" s="66">
        <f>SUM(W18:AA18)</f>
        <v>73203333.333333343</v>
      </c>
      <c r="AC18" s="326">
        <f>SUMIF(Contratación!$A$2:$A$270,"188",Contratación!$M$2:$M$270)</f>
        <v>73203333.333333343</v>
      </c>
      <c r="AD18" s="62"/>
      <c r="AE18" s="62"/>
      <c r="AF18" s="62"/>
      <c r="AG18" s="62"/>
      <c r="AH18" s="66">
        <f>SUM(AC18:AG18)</f>
        <v>73203333.333333343</v>
      </c>
      <c r="AI18" s="326">
        <f>SUMIF(Contratación!$A$2:$A$270,"188",Contratación!$N$2:$N$270)</f>
        <v>15956819</v>
      </c>
      <c r="AJ18" s="62"/>
      <c r="AK18" s="62"/>
      <c r="AL18" s="62"/>
      <c r="AM18" s="62"/>
      <c r="AN18" s="66">
        <f>SUM(AI18:AM18)</f>
        <v>15956819</v>
      </c>
      <c r="AO18" s="25">
        <f>IFERROR(AN18/AB18,"-")</f>
        <v>0.21797940439870678</v>
      </c>
      <c r="AP18" s="30"/>
      <c r="AQ18" s="26" t="s">
        <v>52</v>
      </c>
      <c r="AR18" s="27" t="s">
        <v>53</v>
      </c>
    </row>
    <row r="19" spans="1:44" ht="128.44999999999999" customHeight="1" x14ac:dyDescent="0.2">
      <c r="A19" s="12">
        <v>189</v>
      </c>
      <c r="B19" s="15" t="s">
        <v>44</v>
      </c>
      <c r="C19" s="16" t="s">
        <v>81</v>
      </c>
      <c r="D19" s="17" t="s">
        <v>82</v>
      </c>
      <c r="E19" s="18" t="s">
        <v>88</v>
      </c>
      <c r="F19" s="19" t="s">
        <v>89</v>
      </c>
      <c r="G19" s="71">
        <v>2022680010086</v>
      </c>
      <c r="H19" s="28" t="s">
        <v>85</v>
      </c>
      <c r="I19" s="16" t="s">
        <v>86</v>
      </c>
      <c r="J19" s="20">
        <v>44942</v>
      </c>
      <c r="K19" s="20">
        <v>45291</v>
      </c>
      <c r="L19" s="36">
        <v>0</v>
      </c>
      <c r="M19" s="22">
        <f>SUM('Resultado por Estrategias'!C22)</f>
        <v>1192</v>
      </c>
      <c r="N19" s="23">
        <f>IFERROR(AN19/$AN$22,"-")</f>
        <v>4.245404804671464E-2</v>
      </c>
      <c r="O19" s="56" t="str">
        <f t="shared" si="1"/>
        <v>-</v>
      </c>
      <c r="P19" s="20" t="s">
        <v>87</v>
      </c>
      <c r="Q19" s="326">
        <f>Gastos_Febrero!$M$83/3</f>
        <v>79590000</v>
      </c>
      <c r="R19" s="63"/>
      <c r="S19" s="64"/>
      <c r="T19" s="63"/>
      <c r="U19" s="65"/>
      <c r="V19" s="66">
        <f>SUM(Q19:U19)</f>
        <v>79590000</v>
      </c>
      <c r="W19" s="326">
        <f>SUMIF(Contratación!$A$2:$A$270,"189",Contratación!$L$2:$L$270)</f>
        <v>73203333.333333343</v>
      </c>
      <c r="X19" s="62"/>
      <c r="Y19" s="62"/>
      <c r="Z19" s="62"/>
      <c r="AA19" s="62"/>
      <c r="AB19" s="66">
        <f>SUM(W19:AA19)</f>
        <v>73203333.333333343</v>
      </c>
      <c r="AC19" s="326">
        <f>SUMIF(Contratación!$A$2:$A$270,"189",Contratación!$M$2:$M$270)</f>
        <v>73203333.333333343</v>
      </c>
      <c r="AD19" s="62"/>
      <c r="AE19" s="62"/>
      <c r="AF19" s="62"/>
      <c r="AG19" s="62"/>
      <c r="AH19" s="66">
        <f>SUM(AC19:AG19)</f>
        <v>73203333.333333343</v>
      </c>
      <c r="AI19" s="326">
        <f>SUMIF(Contratación!$A$2:$A$270,"189",Contratación!$N$2:$N$270)</f>
        <v>15956819</v>
      </c>
      <c r="AJ19" s="62"/>
      <c r="AK19" s="62"/>
      <c r="AL19" s="62"/>
      <c r="AM19" s="62"/>
      <c r="AN19" s="66">
        <f>SUM(AI19:AM19)</f>
        <v>15956819</v>
      </c>
      <c r="AO19" s="25">
        <f>IFERROR(AN19/AB19,"-")</f>
        <v>0.21797940439870678</v>
      </c>
      <c r="AP19" s="30"/>
      <c r="AQ19" s="26" t="s">
        <v>52</v>
      </c>
      <c r="AR19" s="27" t="s">
        <v>53</v>
      </c>
    </row>
    <row r="20" spans="1:44" ht="141.6" customHeight="1" x14ac:dyDescent="0.2">
      <c r="A20" s="12">
        <v>190</v>
      </c>
      <c r="B20" s="15" t="s">
        <v>44</v>
      </c>
      <c r="C20" s="16" t="s">
        <v>81</v>
      </c>
      <c r="D20" s="17" t="s">
        <v>82</v>
      </c>
      <c r="E20" s="18" t="s">
        <v>90</v>
      </c>
      <c r="F20" s="19" t="s">
        <v>91</v>
      </c>
      <c r="G20" s="71">
        <v>2022680010086</v>
      </c>
      <c r="H20" s="28" t="s">
        <v>85</v>
      </c>
      <c r="I20" s="16" t="s">
        <v>86</v>
      </c>
      <c r="J20" s="20">
        <v>44942</v>
      </c>
      <c r="K20" s="20">
        <v>45291</v>
      </c>
      <c r="L20" s="36">
        <v>0</v>
      </c>
      <c r="M20" s="22">
        <f>SUM('Resultado por Estrategias'!C23)</f>
        <v>51</v>
      </c>
      <c r="N20" s="23">
        <f>IFERROR(AN20/$AN$22,"-")</f>
        <v>4.245404804671464E-2</v>
      </c>
      <c r="O20" s="56" t="str">
        <f t="shared" si="1"/>
        <v>-</v>
      </c>
      <c r="P20" s="20" t="s">
        <v>87</v>
      </c>
      <c r="Q20" s="326">
        <f>Gastos_Febrero!$M$83/3</f>
        <v>79590000</v>
      </c>
      <c r="R20" s="63"/>
      <c r="S20" s="64"/>
      <c r="T20" s="63"/>
      <c r="U20" s="65"/>
      <c r="V20" s="66">
        <f>SUM(Q20:U20)</f>
        <v>79590000</v>
      </c>
      <c r="W20" s="326">
        <f>SUMIF(Contratación!$A$2:$A$270,"190",Contratación!$L$2:$L$270)</f>
        <v>73203333.333333343</v>
      </c>
      <c r="X20" s="62"/>
      <c r="Y20" s="62"/>
      <c r="Z20" s="62"/>
      <c r="AA20" s="62"/>
      <c r="AB20" s="66">
        <f>SUM(W20:AA20)</f>
        <v>73203333.333333343</v>
      </c>
      <c r="AC20" s="326">
        <f>SUMIF(Contratación!$A$2:$A$270,"190",Contratación!$M$2:$M$270)</f>
        <v>73203333.333333343</v>
      </c>
      <c r="AD20" s="62"/>
      <c r="AE20" s="62"/>
      <c r="AF20" s="62"/>
      <c r="AG20" s="62"/>
      <c r="AH20" s="66">
        <f>SUM(AC20:AG20)</f>
        <v>73203333.333333343</v>
      </c>
      <c r="AI20" s="326">
        <f>SUMIF(Contratación!$A$2:$A$270,"190",Contratación!$N$2:$N$270)</f>
        <v>15956819</v>
      </c>
      <c r="AJ20" s="62"/>
      <c r="AK20" s="62"/>
      <c r="AL20" s="62"/>
      <c r="AM20" s="62"/>
      <c r="AN20" s="66">
        <f>SUM(AI20:AM20)</f>
        <v>15956819</v>
      </c>
      <c r="AO20" s="25">
        <f>IFERROR(AN20/AB20,"-")</f>
        <v>0.21797940439870678</v>
      </c>
      <c r="AP20" s="30"/>
      <c r="AQ20" s="26" t="s">
        <v>52</v>
      </c>
      <c r="AR20" s="27" t="s">
        <v>53</v>
      </c>
    </row>
    <row r="21" spans="1:44" ht="93" customHeight="1" x14ac:dyDescent="0.2">
      <c r="A21" s="12">
        <v>302</v>
      </c>
      <c r="B21" s="15" t="s">
        <v>92</v>
      </c>
      <c r="C21" s="16" t="s">
        <v>93</v>
      </c>
      <c r="D21" s="17" t="s">
        <v>94</v>
      </c>
      <c r="E21" s="18" t="s">
        <v>95</v>
      </c>
      <c r="F21" s="19" t="s">
        <v>96</v>
      </c>
      <c r="G21" s="68">
        <v>2021680010176</v>
      </c>
      <c r="H21" s="17" t="s">
        <v>97</v>
      </c>
      <c r="I21" s="16" t="s">
        <v>98</v>
      </c>
      <c r="J21" s="20">
        <v>44936</v>
      </c>
      <c r="K21" s="20">
        <v>45291</v>
      </c>
      <c r="L21" s="37">
        <v>1</v>
      </c>
      <c r="M21" s="32">
        <v>1</v>
      </c>
      <c r="N21" s="23">
        <f>IFERROR(AN21/$AN$22,"-")</f>
        <v>0.29345071581976562</v>
      </c>
      <c r="O21" s="56">
        <f t="shared" si="1"/>
        <v>0.29345071581976562</v>
      </c>
      <c r="P21" s="20" t="s">
        <v>99</v>
      </c>
      <c r="Q21" s="328">
        <f>Gastos_Febrero!$M$84</f>
        <v>541456051</v>
      </c>
      <c r="R21" s="63"/>
      <c r="S21" s="64"/>
      <c r="T21" s="63"/>
      <c r="U21" s="65"/>
      <c r="V21" s="66">
        <f>SUM(Q21:U21)</f>
        <v>541456051</v>
      </c>
      <c r="W21" s="326">
        <f>SUMIF(Contratación!$A$2:$A$270,"302",Contratación!$L$2:$L$270)</f>
        <v>538083602</v>
      </c>
      <c r="X21" s="62"/>
      <c r="Y21" s="62"/>
      <c r="Z21" s="62"/>
      <c r="AA21" s="62"/>
      <c r="AB21" s="66">
        <f>SUM(W21:AA21)</f>
        <v>538083602</v>
      </c>
      <c r="AC21" s="326">
        <f>SUMIF(Contratación!$A$2:$A$270,"302",Contratación!$M$2:$M$270)</f>
        <v>538083602</v>
      </c>
      <c r="AD21" s="62"/>
      <c r="AE21" s="62"/>
      <c r="AF21" s="62"/>
      <c r="AG21" s="62"/>
      <c r="AH21" s="66">
        <f>SUM(AC21:AG21)</f>
        <v>538083602</v>
      </c>
      <c r="AI21" s="326">
        <f>SUMIF(Contratación!$A$2:$A$270,"302",Contratación!$N$2:$N$270)</f>
        <v>110296666</v>
      </c>
      <c r="AJ21" s="62"/>
      <c r="AK21" s="62"/>
      <c r="AL21" s="62"/>
      <c r="AM21" s="62"/>
      <c r="AN21" s="66">
        <f>SUM(AI21:AM21)</f>
        <v>110296666</v>
      </c>
      <c r="AO21" s="25">
        <f>IFERROR(AN21/AB21,"-")</f>
        <v>0.20498053757824791</v>
      </c>
      <c r="AP21" s="30"/>
      <c r="AQ21" s="26" t="s">
        <v>52</v>
      </c>
      <c r="AR21" s="27" t="s">
        <v>53</v>
      </c>
    </row>
    <row r="22" spans="1:44" ht="15" x14ac:dyDescent="0.2">
      <c r="A22" s="54" cm="1">
        <f t="array" ref="A22">SUM(--(FREQUENCY(A9:A21,A9:A21)&gt;0))</f>
        <v>11</v>
      </c>
      <c r="B22" s="38"/>
      <c r="C22" s="39"/>
      <c r="D22" s="39"/>
      <c r="E22" s="39"/>
      <c r="F22" s="39"/>
      <c r="G22" s="39"/>
      <c r="H22" s="39"/>
      <c r="I22" s="39"/>
      <c r="J22" s="39"/>
      <c r="K22" s="40"/>
      <c r="L22" s="41"/>
      <c r="M22" s="42" t="s">
        <v>100</v>
      </c>
      <c r="N22" s="41"/>
      <c r="O22" s="52">
        <f>IFERROR(SUM(O9:O21),"-")</f>
        <v>0.31528650188205631</v>
      </c>
      <c r="P22" s="43"/>
      <c r="Q22" s="44">
        <f>SUM(Q9:Q21)</f>
        <v>4360918051</v>
      </c>
      <c r="R22" s="45">
        <f>SUM(R9:R21)</f>
        <v>0</v>
      </c>
      <c r="S22" s="45">
        <f>SUM(S9:S21)</f>
        <v>0</v>
      </c>
      <c r="T22" s="45">
        <f>SUM(T9:T21)</f>
        <v>4000000</v>
      </c>
      <c r="U22" s="45">
        <f>SUM(U9:U21)</f>
        <v>0</v>
      </c>
      <c r="V22" s="46">
        <f t="shared" ref="V22:AN22" si="3">SUBTOTAL(9,V9:V21)</f>
        <v>4364918051</v>
      </c>
      <c r="W22" s="44">
        <f t="shared" si="3"/>
        <v>3114453988.0000005</v>
      </c>
      <c r="X22" s="44">
        <f t="shared" si="3"/>
        <v>0</v>
      </c>
      <c r="Y22" s="44">
        <f t="shared" si="3"/>
        <v>0</v>
      </c>
      <c r="Z22" s="44">
        <f t="shared" si="3"/>
        <v>0</v>
      </c>
      <c r="AA22" s="44">
        <f t="shared" si="3"/>
        <v>0</v>
      </c>
      <c r="AB22" s="46">
        <f t="shared" si="3"/>
        <v>3114453988.0000005</v>
      </c>
      <c r="AC22" s="44">
        <f t="shared" si="3"/>
        <v>3075603988.0000005</v>
      </c>
      <c r="AD22" s="44">
        <f t="shared" si="3"/>
        <v>0</v>
      </c>
      <c r="AE22" s="44">
        <f t="shared" si="3"/>
        <v>0</v>
      </c>
      <c r="AF22" s="44">
        <f t="shared" si="3"/>
        <v>0</v>
      </c>
      <c r="AG22" s="44">
        <f t="shared" si="3"/>
        <v>0</v>
      </c>
      <c r="AH22" s="46">
        <f t="shared" si="3"/>
        <v>3075603988.0000005</v>
      </c>
      <c r="AI22" s="44">
        <f t="shared" si="3"/>
        <v>375860954</v>
      </c>
      <c r="AJ22" s="44">
        <f t="shared" si="3"/>
        <v>0</v>
      </c>
      <c r="AK22" s="44">
        <f t="shared" si="3"/>
        <v>0</v>
      </c>
      <c r="AL22" s="44">
        <f t="shared" si="3"/>
        <v>0</v>
      </c>
      <c r="AM22" s="44">
        <f t="shared" si="3"/>
        <v>0</v>
      </c>
      <c r="AN22" s="47">
        <f t="shared" si="3"/>
        <v>375860954</v>
      </c>
      <c r="AO22" s="48">
        <f>IFERROR(AN22/AB22,"-")</f>
        <v>0.12068277632233235</v>
      </c>
      <c r="AP22" s="44">
        <f>SUBTOTAL(9,AP9:AP21)</f>
        <v>526147182</v>
      </c>
      <c r="AQ22" s="43"/>
      <c r="AR22" s="43"/>
    </row>
    <row r="23" spans="1:44" x14ac:dyDescent="0.2"/>
    <row r="24" spans="1:44" x14ac:dyDescent="0.2"/>
    <row r="25" spans="1:44" x14ac:dyDescent="0.2"/>
    <row r="26" spans="1:44" x14ac:dyDescent="0.2"/>
    <row r="31" spans="1:44" hidden="1" x14ac:dyDescent="0.2">
      <c r="S31" s="50"/>
    </row>
  </sheetData>
  <mergeCells count="43">
    <mergeCell ref="A5:C5"/>
    <mergeCell ref="D5:G5"/>
    <mergeCell ref="A1:AO4"/>
    <mergeCell ref="AP1:AR1"/>
    <mergeCell ref="AP2:AR2"/>
    <mergeCell ref="AP3:AR3"/>
    <mergeCell ref="AP4:AR4"/>
    <mergeCell ref="AQ7:AR7"/>
    <mergeCell ref="A6:C6"/>
    <mergeCell ref="D6:G6"/>
    <mergeCell ref="B7:F7"/>
    <mergeCell ref="G7:K7"/>
    <mergeCell ref="L7:O7"/>
    <mergeCell ref="P7:V7"/>
    <mergeCell ref="W7:AB7"/>
    <mergeCell ref="AC7:AH7"/>
    <mergeCell ref="AI7:AN7"/>
    <mergeCell ref="AO7:AO8"/>
    <mergeCell ref="AP7:AP8"/>
    <mergeCell ref="AR14:AR15"/>
    <mergeCell ref="L14:L15"/>
    <mergeCell ref="M14:M15"/>
    <mergeCell ref="N14:N15"/>
    <mergeCell ref="O14:O15"/>
    <mergeCell ref="V14:V15"/>
    <mergeCell ref="AB14:AB15"/>
    <mergeCell ref="AH14:AH15"/>
    <mergeCell ref="AN14:AN15"/>
    <mergeCell ref="AO14:AO15"/>
    <mergeCell ref="AP14:AP15"/>
    <mergeCell ref="AQ14:AQ15"/>
    <mergeCell ref="AR16:AR17"/>
    <mergeCell ref="L16:L17"/>
    <mergeCell ref="M16:M17"/>
    <mergeCell ref="N16:N17"/>
    <mergeCell ref="O16:O17"/>
    <mergeCell ref="V16:V17"/>
    <mergeCell ref="AB16:AB17"/>
    <mergeCell ref="AH16:AH17"/>
    <mergeCell ref="AN16:AN17"/>
    <mergeCell ref="AO16:AO17"/>
    <mergeCell ref="AP16:AP17"/>
    <mergeCell ref="AQ16:AQ17"/>
  </mergeCells>
  <conditionalFormatting sqref="O10:O21">
    <cfRule type="cellIs" dxfId="5" priority="4" operator="between">
      <formula>0.67</formula>
      <formula>1</formula>
    </cfRule>
    <cfRule type="cellIs" dxfId="4" priority="5" operator="between">
      <formula>0.34</formula>
      <formula>0.66</formula>
    </cfRule>
    <cfRule type="cellIs" dxfId="3" priority="6" operator="between">
      <formula>0</formula>
      <formula>0.33</formula>
    </cfRule>
  </conditionalFormatting>
  <conditionalFormatting sqref="O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6BBC7-3EF4-43C3-B300-47CD0FE3574C}">
  <dimension ref="A1:AI156"/>
  <sheetViews>
    <sheetView zoomScale="70" zoomScaleNormal="70" zoomScaleSheetLayoutView="115" workbookViewId="0">
      <pane ySplit="1" topLeftCell="A2" activePane="bottomLeft" state="frozen"/>
      <selection activeCell="E1" sqref="E1"/>
      <selection pane="bottomLeft" activeCell="D69" sqref="D69"/>
    </sheetView>
  </sheetViews>
  <sheetFormatPr baseColWidth="10" defaultColWidth="12.5703125" defaultRowHeight="14.25" x14ac:dyDescent="0.2"/>
  <cols>
    <col min="1" max="1" width="22.85546875" style="24" customWidth="1"/>
    <col min="2" max="2" width="40.7109375" style="1" customWidth="1"/>
    <col min="3" max="3" width="18.5703125" style="1" customWidth="1"/>
    <col min="4" max="4" width="44.140625" style="1" customWidth="1"/>
    <col min="5" max="5" width="56" style="1" customWidth="1"/>
    <col min="6" max="6" width="44.7109375" style="24" customWidth="1"/>
    <col min="7" max="7" width="30.5703125" style="24" customWidth="1"/>
    <col min="8" max="8" width="27.85546875" style="24" customWidth="1"/>
    <col min="9" max="9" width="39.28515625" style="1" bestFit="1" customWidth="1"/>
    <col min="10" max="10" width="18.28515625" style="1" customWidth="1"/>
    <col min="11" max="11" width="19.28515625" style="1" customWidth="1"/>
    <col min="12" max="12" width="24.42578125" style="1" customWidth="1"/>
    <col min="13" max="13" width="25.140625" style="1" customWidth="1"/>
    <col min="14" max="14" width="29.28515625" style="1" customWidth="1"/>
    <col min="15" max="15" width="26.140625" style="331" customWidth="1"/>
    <col min="16" max="16384" width="12.5703125" style="1"/>
  </cols>
  <sheetData>
    <row r="1" spans="1:35" s="74" customFormat="1" ht="18.75" customHeight="1" x14ac:dyDescent="0.25">
      <c r="A1" s="72" t="s">
        <v>101</v>
      </c>
      <c r="B1" s="72" t="s">
        <v>102</v>
      </c>
      <c r="C1" s="72" t="s">
        <v>103</v>
      </c>
      <c r="D1" s="72" t="s">
        <v>104</v>
      </c>
      <c r="E1" s="72" t="s">
        <v>105</v>
      </c>
      <c r="F1" s="72" t="s">
        <v>106</v>
      </c>
      <c r="G1" s="72" t="s">
        <v>107</v>
      </c>
      <c r="H1" s="72" t="s">
        <v>108</v>
      </c>
      <c r="I1" s="72" t="s">
        <v>109</v>
      </c>
      <c r="J1" s="72" t="s">
        <v>32</v>
      </c>
      <c r="K1" s="72" t="s">
        <v>110</v>
      </c>
      <c r="L1" s="72" t="s">
        <v>111</v>
      </c>
      <c r="M1" s="73" t="s">
        <v>112</v>
      </c>
      <c r="N1" s="73" t="s">
        <v>113</v>
      </c>
      <c r="O1" s="330" t="s">
        <v>114</v>
      </c>
    </row>
    <row r="2" spans="1:35" ht="15" x14ac:dyDescent="0.2">
      <c r="A2" s="78">
        <v>180</v>
      </c>
      <c r="B2" s="76" t="s">
        <v>47</v>
      </c>
      <c r="C2" s="77">
        <v>2020680010157</v>
      </c>
      <c r="D2" s="76" t="s">
        <v>49</v>
      </c>
      <c r="E2" s="76" t="s">
        <v>895</v>
      </c>
      <c r="F2" s="78" t="s">
        <v>902</v>
      </c>
      <c r="G2" s="79" t="s">
        <v>117</v>
      </c>
      <c r="H2" s="85" t="s">
        <v>118</v>
      </c>
      <c r="I2" s="76" t="s">
        <v>879</v>
      </c>
      <c r="J2" s="76" t="s">
        <v>120</v>
      </c>
      <c r="K2" s="79">
        <v>45014</v>
      </c>
      <c r="L2" s="86">
        <v>28000000</v>
      </c>
      <c r="M2" s="86">
        <v>28000000</v>
      </c>
      <c r="N2" s="333"/>
      <c r="O2" s="76"/>
    </row>
    <row r="3" spans="1:35" ht="15" x14ac:dyDescent="0.25">
      <c r="A3" s="75">
        <v>180</v>
      </c>
      <c r="B3" s="76" t="s">
        <v>47</v>
      </c>
      <c r="C3" s="77">
        <v>2020680010157</v>
      </c>
      <c r="D3" s="76" t="s">
        <v>49</v>
      </c>
      <c r="E3" s="76" t="s">
        <v>115</v>
      </c>
      <c r="F3" s="78" t="s">
        <v>116</v>
      </c>
      <c r="G3" s="78" t="s">
        <v>117</v>
      </c>
      <c r="H3" s="78" t="s">
        <v>118</v>
      </c>
      <c r="I3" s="76" t="s">
        <v>119</v>
      </c>
      <c r="J3" s="76" t="s">
        <v>120</v>
      </c>
      <c r="K3" s="79">
        <v>44978</v>
      </c>
      <c r="L3" s="80">
        <v>14700000</v>
      </c>
      <c r="M3" s="80">
        <v>14700000</v>
      </c>
      <c r="N3" s="339">
        <v>1225000</v>
      </c>
      <c r="O3" s="76" t="s">
        <v>121</v>
      </c>
    </row>
    <row r="4" spans="1:35" ht="15" x14ac:dyDescent="0.25">
      <c r="A4" s="78">
        <v>180</v>
      </c>
      <c r="B4" s="76" t="s">
        <v>47</v>
      </c>
      <c r="C4" s="77">
        <v>2020680010157</v>
      </c>
      <c r="D4" s="76" t="s">
        <v>49</v>
      </c>
      <c r="E4" s="76" t="s">
        <v>122</v>
      </c>
      <c r="F4" s="78" t="s">
        <v>123</v>
      </c>
      <c r="G4" s="78" t="s">
        <v>117</v>
      </c>
      <c r="H4" s="78" t="s">
        <v>118</v>
      </c>
      <c r="I4" s="76" t="s">
        <v>124</v>
      </c>
      <c r="J4" s="76" t="s">
        <v>120</v>
      </c>
      <c r="K4" s="79">
        <v>44957</v>
      </c>
      <c r="L4" s="80">
        <v>33600000</v>
      </c>
      <c r="M4" s="80">
        <v>33600000</v>
      </c>
      <c r="N4" s="339">
        <v>4200000</v>
      </c>
      <c r="O4" s="76" t="s">
        <v>125</v>
      </c>
    </row>
    <row r="5" spans="1:35" ht="15" x14ac:dyDescent="0.25">
      <c r="A5" s="78">
        <v>180</v>
      </c>
      <c r="B5" s="76" t="s">
        <v>47</v>
      </c>
      <c r="C5" s="77">
        <v>2020680010157</v>
      </c>
      <c r="D5" s="76" t="s">
        <v>49</v>
      </c>
      <c r="E5" s="76" t="s">
        <v>126</v>
      </c>
      <c r="F5" s="78" t="s">
        <v>127</v>
      </c>
      <c r="G5" s="78" t="s">
        <v>128</v>
      </c>
      <c r="H5" s="78" t="s">
        <v>118</v>
      </c>
      <c r="I5" s="76" t="s">
        <v>129</v>
      </c>
      <c r="J5" s="76" t="s">
        <v>130</v>
      </c>
      <c r="K5" s="79">
        <v>44974</v>
      </c>
      <c r="L5" s="80">
        <v>170000000</v>
      </c>
      <c r="M5" s="80">
        <v>170000000</v>
      </c>
      <c r="N5" s="339">
        <v>0</v>
      </c>
      <c r="O5" s="76" t="s">
        <v>131</v>
      </c>
    </row>
    <row r="6" spans="1:35" ht="15" x14ac:dyDescent="0.25">
      <c r="A6" s="78">
        <v>180</v>
      </c>
      <c r="B6" s="76" t="s">
        <v>47</v>
      </c>
      <c r="C6" s="77">
        <v>2020680010157</v>
      </c>
      <c r="D6" s="76" t="s">
        <v>49</v>
      </c>
      <c r="E6" s="76" t="s">
        <v>132</v>
      </c>
      <c r="F6" s="78" t="s">
        <v>133</v>
      </c>
      <c r="G6" s="78" t="s">
        <v>117</v>
      </c>
      <c r="H6" s="78" t="s">
        <v>118</v>
      </c>
      <c r="I6" s="76" t="s">
        <v>134</v>
      </c>
      <c r="J6" s="76" t="s">
        <v>120</v>
      </c>
      <c r="K6" s="79">
        <v>44978</v>
      </c>
      <c r="L6" s="80">
        <v>11025000</v>
      </c>
      <c r="M6" s="80">
        <v>11025000</v>
      </c>
      <c r="N6" s="339">
        <v>826875</v>
      </c>
      <c r="O6" s="76" t="s">
        <v>135</v>
      </c>
    </row>
    <row r="7" spans="1:35" ht="15" x14ac:dyDescent="0.25">
      <c r="A7" s="78">
        <v>180</v>
      </c>
      <c r="B7" s="76" t="s">
        <v>47</v>
      </c>
      <c r="C7" s="77">
        <v>2020680010157</v>
      </c>
      <c r="D7" s="76" t="s">
        <v>49</v>
      </c>
      <c r="E7" s="76" t="s">
        <v>136</v>
      </c>
      <c r="F7" s="78" t="s">
        <v>137</v>
      </c>
      <c r="G7" s="78" t="s">
        <v>117</v>
      </c>
      <c r="H7" s="78" t="s">
        <v>118</v>
      </c>
      <c r="I7" s="76" t="s">
        <v>138</v>
      </c>
      <c r="J7" s="76" t="s">
        <v>120</v>
      </c>
      <c r="K7" s="79">
        <v>44953</v>
      </c>
      <c r="L7" s="80">
        <v>14700000</v>
      </c>
      <c r="M7" s="80">
        <v>14700000</v>
      </c>
      <c r="N7" s="339">
        <f>490000+3675000</f>
        <v>4165000</v>
      </c>
      <c r="O7" s="76" t="s">
        <v>139</v>
      </c>
    </row>
    <row r="8" spans="1:35" ht="15" x14ac:dyDescent="0.2">
      <c r="A8" s="78">
        <v>180</v>
      </c>
      <c r="B8" s="76" t="s">
        <v>47</v>
      </c>
      <c r="C8" s="77">
        <v>2020680010157</v>
      </c>
      <c r="D8" s="76" t="s">
        <v>49</v>
      </c>
      <c r="E8" s="76" t="s">
        <v>869</v>
      </c>
      <c r="F8" s="78" t="s">
        <v>901</v>
      </c>
      <c r="G8" s="79" t="s">
        <v>117</v>
      </c>
      <c r="H8" s="85" t="s">
        <v>118</v>
      </c>
      <c r="I8" s="76" t="s">
        <v>844</v>
      </c>
      <c r="J8" s="76" t="s">
        <v>120</v>
      </c>
      <c r="K8" s="79">
        <v>44995</v>
      </c>
      <c r="L8" s="86">
        <v>22800000</v>
      </c>
      <c r="M8" s="86">
        <v>22800000</v>
      </c>
      <c r="N8" s="333"/>
      <c r="O8" s="76"/>
    </row>
    <row r="9" spans="1:35" ht="15" x14ac:dyDescent="0.25">
      <c r="A9" s="78">
        <v>180</v>
      </c>
      <c r="B9" s="76" t="s">
        <v>47</v>
      </c>
      <c r="C9" s="77">
        <v>2020680010157</v>
      </c>
      <c r="D9" s="76" t="s">
        <v>49</v>
      </c>
      <c r="E9" s="76" t="s">
        <v>140</v>
      </c>
      <c r="F9" s="78" t="s">
        <v>141</v>
      </c>
      <c r="G9" s="78" t="s">
        <v>117</v>
      </c>
      <c r="H9" s="78" t="s">
        <v>118</v>
      </c>
      <c r="I9" s="76" t="s">
        <v>142</v>
      </c>
      <c r="J9" s="76" t="s">
        <v>120</v>
      </c>
      <c r="K9" s="79">
        <v>44957</v>
      </c>
      <c r="L9" s="80">
        <v>33600000</v>
      </c>
      <c r="M9" s="80">
        <v>33600000</v>
      </c>
      <c r="N9" s="339">
        <v>4200000</v>
      </c>
      <c r="O9" s="76" t="s">
        <v>143</v>
      </c>
      <c r="Q9" s="327">
        <f>Gastos_Febrero!$M$82</f>
        <v>695900000</v>
      </c>
      <c r="W9">
        <f>SUMIF(Contratación!$A$2:$A$270,"180",Contratación!$L$2:$L$270)</f>
        <v>614625000</v>
      </c>
      <c r="AC9">
        <f>SUMIF(Contratación!$A$2:$A$270,"180",Contratación!$M$2:$M$270)</f>
        <v>614625000</v>
      </c>
      <c r="AI9">
        <f>SUMIF(Contratación!$A$2:$A$270,"180",Contratación!$N$2:$N$270)</f>
        <v>52916875</v>
      </c>
    </row>
    <row r="10" spans="1:35" ht="15" x14ac:dyDescent="0.25">
      <c r="A10" s="78">
        <v>180</v>
      </c>
      <c r="B10" s="76" t="s">
        <v>47</v>
      </c>
      <c r="C10" s="77">
        <v>2020680010157</v>
      </c>
      <c r="D10" s="76" t="s">
        <v>49</v>
      </c>
      <c r="E10" s="76" t="s">
        <v>144</v>
      </c>
      <c r="F10" s="78" t="s">
        <v>145</v>
      </c>
      <c r="G10" s="78" t="s">
        <v>117</v>
      </c>
      <c r="H10" s="78" t="s">
        <v>118</v>
      </c>
      <c r="I10" s="76" t="s">
        <v>146</v>
      </c>
      <c r="J10" s="76" t="s">
        <v>120</v>
      </c>
      <c r="K10" s="79">
        <v>44957</v>
      </c>
      <c r="L10" s="80">
        <v>33600000</v>
      </c>
      <c r="M10" s="80">
        <v>33600000</v>
      </c>
      <c r="N10" s="339">
        <v>4200000</v>
      </c>
      <c r="O10" s="76" t="s">
        <v>147</v>
      </c>
      <c r="Q10">
        <f>Gastos_Febrero!$M$80*'% METAS CDE'!F4</f>
        <v>543358223.32252502</v>
      </c>
      <c r="W10">
        <f>SUMIF(Contratación!$A$2:$A$270,"182",Contratación!$L$2:$L$270)</f>
        <v>499013636</v>
      </c>
      <c r="AC10">
        <f>SUMIF(Contratación!$A$2:$A$270,"182",Contratación!$M$2:$M$270)</f>
        <v>499013636</v>
      </c>
      <c r="AI10">
        <f>SUMIF(Contratación!$A$2:$A$270,"182",Contratación!$N$2:$N$270)</f>
        <v>0</v>
      </c>
    </row>
    <row r="11" spans="1:35" ht="15" x14ac:dyDescent="0.25">
      <c r="A11" s="78">
        <v>180</v>
      </c>
      <c r="B11" s="76" t="s">
        <v>47</v>
      </c>
      <c r="C11" s="77">
        <v>2020680010157</v>
      </c>
      <c r="D11" s="76" t="s">
        <v>49</v>
      </c>
      <c r="E11" s="76" t="s">
        <v>148</v>
      </c>
      <c r="F11" s="78" t="s">
        <v>149</v>
      </c>
      <c r="G11" s="78" t="s">
        <v>117</v>
      </c>
      <c r="H11" s="78" t="s">
        <v>118</v>
      </c>
      <c r="I11" s="76" t="s">
        <v>150</v>
      </c>
      <c r="J11" s="76" t="s">
        <v>120</v>
      </c>
      <c r="K11" s="79">
        <v>44950</v>
      </c>
      <c r="L11" s="80">
        <v>33600000</v>
      </c>
      <c r="M11" s="80">
        <v>33600000</v>
      </c>
      <c r="N11" s="339">
        <f>980000+4200000</f>
        <v>5180000</v>
      </c>
      <c r="O11" s="76" t="s">
        <v>151</v>
      </c>
      <c r="Q11">
        <f>Gastos_Febrero!$M$80*'% METAS CDE'!F5</f>
        <v>47256718.43604207</v>
      </c>
      <c r="W11">
        <f>SUMIF(Contratación!$A$2:$A$270,"183",Contratación!$L$2:$L$270)</f>
        <v>43400000</v>
      </c>
      <c r="AC11">
        <f>SUMIF(Contratación!$A$2:$A$270,"183",Contratación!$M$2:$M$270)</f>
        <v>43400000</v>
      </c>
      <c r="AI11">
        <f>SUMIF(Contratación!$A$2:$A$270,"183",Contratación!$N$2:$N$270)</f>
        <v>2683333</v>
      </c>
    </row>
    <row r="12" spans="1:35" ht="15" x14ac:dyDescent="0.25">
      <c r="A12" s="78">
        <v>180</v>
      </c>
      <c r="B12" s="76" t="s">
        <v>47</v>
      </c>
      <c r="C12" s="77">
        <v>2020680010157</v>
      </c>
      <c r="D12" s="76" t="s">
        <v>49</v>
      </c>
      <c r="E12" s="76" t="s">
        <v>152</v>
      </c>
      <c r="F12" s="78" t="s">
        <v>153</v>
      </c>
      <c r="G12" s="78" t="s">
        <v>117</v>
      </c>
      <c r="H12" s="78" t="s">
        <v>118</v>
      </c>
      <c r="I12" s="76" t="s">
        <v>154</v>
      </c>
      <c r="J12" s="76" t="s">
        <v>120</v>
      </c>
      <c r="K12" s="79">
        <v>44966</v>
      </c>
      <c r="L12" s="80">
        <v>33600000</v>
      </c>
      <c r="M12" s="80">
        <v>33600000</v>
      </c>
      <c r="N12" s="339">
        <v>3080000</v>
      </c>
      <c r="O12" s="76" t="s">
        <v>155</v>
      </c>
      <c r="Q12">
        <f>Gastos_Febrero!$M$80*'% METAS CDE'!F6</f>
        <v>849535333.96210444</v>
      </c>
      <c r="W12">
        <f>SUMIF(Contratación!$A$2:$A$270,"184",Contratación!$L$2:$L$270)</f>
        <v>780203000</v>
      </c>
      <c r="AC12">
        <f>SUMIF(Contratación!$A$2:$A$270,"184",Contratación!$M$2:$M$270)</f>
        <v>760778000</v>
      </c>
      <c r="AI12">
        <f>SUMIF(Contratación!$A$2:$A$270,"184",Contratación!$N$2:$N$270)</f>
        <v>144393624</v>
      </c>
    </row>
    <row r="13" spans="1:35" ht="15" x14ac:dyDescent="0.25">
      <c r="A13" s="78">
        <v>180</v>
      </c>
      <c r="B13" s="76" t="s">
        <v>47</v>
      </c>
      <c r="C13" s="77">
        <v>2020680010157</v>
      </c>
      <c r="D13" s="76" t="s">
        <v>49</v>
      </c>
      <c r="E13" s="76" t="s">
        <v>156</v>
      </c>
      <c r="F13" s="78" t="s">
        <v>157</v>
      </c>
      <c r="G13" s="78" t="s">
        <v>117</v>
      </c>
      <c r="H13" s="78" t="s">
        <v>118</v>
      </c>
      <c r="I13" s="76" t="s">
        <v>158</v>
      </c>
      <c r="J13" s="76" t="s">
        <v>120</v>
      </c>
      <c r="K13" s="79">
        <v>44974</v>
      </c>
      <c r="L13" s="80">
        <v>14700000</v>
      </c>
      <c r="M13" s="80">
        <v>14700000</v>
      </c>
      <c r="N13" s="339">
        <v>1715000</v>
      </c>
      <c r="O13" s="76" t="s">
        <v>159</v>
      </c>
      <c r="Q13">
        <f>Gastos_Febrero!$M$80*'% METAS CDE'!F7</f>
        <v>214281724.27932847</v>
      </c>
      <c r="W13">
        <f>SUMIF(Contratación!$A$2:$A$270,"185",Contratación!$L$2:$L$270)</f>
        <v>196793750</v>
      </c>
      <c r="AC13">
        <f>SUMIF(Contratación!$A$2:$A$270,"185",Contratación!$M$2:$M$270)</f>
        <v>177368750</v>
      </c>
      <c r="AI13">
        <f>SUMIF(Contratación!$A$2:$A$270,"185",Contratación!$M$2:$N$270)</f>
        <v>177368750</v>
      </c>
    </row>
    <row r="14" spans="1:35" ht="15" x14ac:dyDescent="0.25">
      <c r="A14" s="78">
        <v>180</v>
      </c>
      <c r="B14" s="76" t="s">
        <v>47</v>
      </c>
      <c r="C14" s="77">
        <v>2020680010157</v>
      </c>
      <c r="D14" s="76" t="s">
        <v>49</v>
      </c>
      <c r="E14" s="76" t="s">
        <v>160</v>
      </c>
      <c r="F14" s="78" t="s">
        <v>161</v>
      </c>
      <c r="G14" s="78" t="s">
        <v>117</v>
      </c>
      <c r="H14" s="78" t="s">
        <v>118</v>
      </c>
      <c r="I14" s="76" t="s">
        <v>162</v>
      </c>
      <c r="J14" s="76" t="s">
        <v>120</v>
      </c>
      <c r="K14" s="79">
        <v>44978</v>
      </c>
      <c r="L14" s="80">
        <v>14700000</v>
      </c>
      <c r="M14" s="80">
        <v>14700000</v>
      </c>
      <c r="N14" s="339">
        <v>1225000</v>
      </c>
      <c r="O14" s="76" t="s">
        <v>163</v>
      </c>
      <c r="W14" s="1">
        <v>0</v>
      </c>
      <c r="AC14" s="1">
        <v>0</v>
      </c>
      <c r="AI14" s="1">
        <v>0</v>
      </c>
    </row>
    <row r="15" spans="1:35" ht="15" x14ac:dyDescent="0.25">
      <c r="A15" s="78">
        <v>180</v>
      </c>
      <c r="B15" s="76" t="s">
        <v>47</v>
      </c>
      <c r="C15" s="77">
        <v>2020680010157</v>
      </c>
      <c r="D15" s="76" t="s">
        <v>49</v>
      </c>
      <c r="E15" s="76" t="s">
        <v>164</v>
      </c>
      <c r="F15" s="78" t="s">
        <v>165</v>
      </c>
      <c r="G15" s="78" t="s">
        <v>117</v>
      </c>
      <c r="H15" s="78" t="s">
        <v>118</v>
      </c>
      <c r="I15" s="76" t="s">
        <v>166</v>
      </c>
      <c r="J15" s="76" t="s">
        <v>120</v>
      </c>
      <c r="K15" s="79">
        <v>44945</v>
      </c>
      <c r="L15" s="80">
        <v>40800000</v>
      </c>
      <c r="M15" s="80">
        <v>40800000</v>
      </c>
      <c r="N15" s="339">
        <f>1360000+5100000</f>
        <v>6460000</v>
      </c>
      <c r="O15" s="76" t="s">
        <v>167</v>
      </c>
      <c r="W15">
        <f>SUMIF(Contratación!$A$2:$A$270,"186",Contratación!$L$2:$L$270)</f>
        <v>111362500</v>
      </c>
      <c r="AC15">
        <f>SUMIF(Contratación!$A$2:$A$270,"186",Contratación!$M$2:$M$270)</f>
        <v>111362500</v>
      </c>
      <c r="AI15">
        <f>SUMIF(Contratación!$A$2:$A$270,"186",Contratación!$N$2:$N$270)</f>
        <v>8849999.5</v>
      </c>
    </row>
    <row r="16" spans="1:35" ht="15" x14ac:dyDescent="0.25">
      <c r="A16" s="78">
        <v>180</v>
      </c>
      <c r="B16" s="76" t="s">
        <v>47</v>
      </c>
      <c r="C16" s="77">
        <v>2020680010157</v>
      </c>
      <c r="D16" s="76" t="s">
        <v>49</v>
      </c>
      <c r="E16" s="76" t="s">
        <v>168</v>
      </c>
      <c r="F16" s="78" t="s">
        <v>169</v>
      </c>
      <c r="G16" s="78" t="s">
        <v>117</v>
      </c>
      <c r="H16" s="78" t="s">
        <v>118</v>
      </c>
      <c r="I16" s="76" t="s">
        <v>170</v>
      </c>
      <c r="J16" s="76" t="s">
        <v>120</v>
      </c>
      <c r="K16" s="79">
        <v>44953</v>
      </c>
      <c r="L16" s="80">
        <v>40800000</v>
      </c>
      <c r="M16" s="80">
        <v>40800000</v>
      </c>
      <c r="N16" s="339">
        <f>680000+5100000</f>
        <v>5780000</v>
      </c>
      <c r="O16" s="76" t="s">
        <v>171</v>
      </c>
      <c r="W16">
        <f>SUMIF(Contratación!$A$2:$A$270,"186",Contratación!$L$2:$L$270)</f>
        <v>111362500</v>
      </c>
      <c r="AC16">
        <f>SUMIF(Contratación!$A$2:$A$270,"186",Contratación!$M$2:$M$270)</f>
        <v>111362500</v>
      </c>
      <c r="AI16">
        <f>SUMIF(Contratación!$A$2:$A$270,"186",Contratación!$N$2:$N$270)</f>
        <v>8849999.5</v>
      </c>
    </row>
    <row r="17" spans="1:35" ht="15" x14ac:dyDescent="0.25">
      <c r="A17" s="78">
        <v>180</v>
      </c>
      <c r="B17" s="76" t="s">
        <v>47</v>
      </c>
      <c r="C17" s="77">
        <v>2020680010157</v>
      </c>
      <c r="D17" s="76" t="s">
        <v>49</v>
      </c>
      <c r="E17" s="76" t="s">
        <v>172</v>
      </c>
      <c r="F17" s="78" t="s">
        <v>173</v>
      </c>
      <c r="G17" s="78" t="s">
        <v>117</v>
      </c>
      <c r="H17" s="78" t="s">
        <v>118</v>
      </c>
      <c r="I17" s="76" t="s">
        <v>174</v>
      </c>
      <c r="J17" s="76" t="s">
        <v>120</v>
      </c>
      <c r="K17" s="79">
        <v>44944</v>
      </c>
      <c r="L17" s="80">
        <v>40800000</v>
      </c>
      <c r="M17" s="80">
        <v>40800000</v>
      </c>
      <c r="N17" s="339">
        <f>1360000+5100000</f>
        <v>6460000</v>
      </c>
      <c r="O17" s="76" t="s">
        <v>175</v>
      </c>
      <c r="AI17" s="1">
        <v>0</v>
      </c>
    </row>
    <row r="18" spans="1:35" ht="15" x14ac:dyDescent="0.25">
      <c r="A18" s="78">
        <v>180</v>
      </c>
      <c r="B18" s="76" t="s">
        <v>47</v>
      </c>
      <c r="C18" s="77">
        <v>2020680010157</v>
      </c>
      <c r="D18" s="76" t="s">
        <v>49</v>
      </c>
      <c r="E18" s="76" t="s">
        <v>176</v>
      </c>
      <c r="F18" s="78" t="s">
        <v>177</v>
      </c>
      <c r="G18" s="78" t="s">
        <v>117</v>
      </c>
      <c r="H18" s="78" t="s">
        <v>118</v>
      </c>
      <c r="I18" s="76" t="s">
        <v>178</v>
      </c>
      <c r="J18" s="76" t="s">
        <v>120</v>
      </c>
      <c r="K18" s="79">
        <v>44957</v>
      </c>
      <c r="L18" s="80">
        <v>33600000</v>
      </c>
      <c r="M18" s="80">
        <v>33600000</v>
      </c>
      <c r="N18" s="339">
        <v>4200000</v>
      </c>
      <c r="O18" s="76" t="s">
        <v>179</v>
      </c>
      <c r="Q18">
        <f>Gastos_Febrero!$M$83/3</f>
        <v>79590000</v>
      </c>
      <c r="W18">
        <f>SUMIF(Contratación!$A$2:$A$270,"188",Contratación!$L$2:$L$270)</f>
        <v>73203333.333333343</v>
      </c>
      <c r="AC18">
        <f>SUMIF(Contratación!$A$2:$A$270,"188",Contratación!$M$2:$M$270)</f>
        <v>73203333.333333343</v>
      </c>
      <c r="AI18">
        <f>SUMIF(Contratación!$A$2:$A$270,"188",Contratación!$N$2:$N$270)</f>
        <v>15956819</v>
      </c>
    </row>
    <row r="19" spans="1:35" ht="15" x14ac:dyDescent="0.25">
      <c r="A19" s="84">
        <v>184</v>
      </c>
      <c r="B19" s="76" t="s">
        <v>64</v>
      </c>
      <c r="C19" s="77">
        <v>2020680010074</v>
      </c>
      <c r="D19" s="76" t="s">
        <v>57</v>
      </c>
      <c r="E19" s="76" t="s">
        <v>862</v>
      </c>
      <c r="F19" s="78" t="s">
        <v>851</v>
      </c>
      <c r="G19" s="79" t="s">
        <v>117</v>
      </c>
      <c r="H19" s="85" t="s">
        <v>118</v>
      </c>
      <c r="I19" s="76" t="s">
        <v>837</v>
      </c>
      <c r="J19" s="76" t="s">
        <v>63</v>
      </c>
      <c r="K19" s="79">
        <v>44986</v>
      </c>
      <c r="L19" s="86">
        <v>13300000</v>
      </c>
      <c r="M19" s="86">
        <v>13300000</v>
      </c>
      <c r="N19" s="333"/>
      <c r="O19" s="333"/>
      <c r="Q19">
        <f>Gastos_Febrero!$M$83/3</f>
        <v>79590000</v>
      </c>
      <c r="W19">
        <f>SUMIF(Contratación!$A$2:$A$270,"189",Contratación!$L$2:$L$270)</f>
        <v>73203333.333333343</v>
      </c>
      <c r="AC19">
        <f>SUMIF(Contratación!$A$2:$A$270,"188",Contratación!$M$2:$M$270)</f>
        <v>73203333.333333343</v>
      </c>
      <c r="AI19">
        <f>SUMIF(Contratación!$A$2:$A$270,"188",Contratación!$N$2:$N$270)</f>
        <v>15956819</v>
      </c>
    </row>
    <row r="20" spans="1:35" ht="15" x14ac:dyDescent="0.25">
      <c r="A20" s="84">
        <v>185</v>
      </c>
      <c r="B20" s="76" t="s">
        <v>67</v>
      </c>
      <c r="C20" s="77">
        <v>2020680010074</v>
      </c>
      <c r="D20" s="76" t="s">
        <v>57</v>
      </c>
      <c r="E20" s="76" t="s">
        <v>862</v>
      </c>
      <c r="F20" s="78" t="s">
        <v>851</v>
      </c>
      <c r="G20" s="79" t="s">
        <v>117</v>
      </c>
      <c r="H20" s="85" t="s">
        <v>118</v>
      </c>
      <c r="I20" s="76" t="s">
        <v>837</v>
      </c>
      <c r="J20" s="76" t="s">
        <v>63</v>
      </c>
      <c r="K20" s="79">
        <v>44986</v>
      </c>
      <c r="L20" s="86">
        <v>13300000</v>
      </c>
      <c r="M20" s="86">
        <v>13300000</v>
      </c>
      <c r="N20" s="333"/>
      <c r="O20" s="333"/>
      <c r="Q20"/>
      <c r="W20"/>
      <c r="AC20">
        <f>SUMIF(Contratación!$A$2:$A$270,"188",Contratación!$M$2:$M$270)</f>
        <v>73203333.333333343</v>
      </c>
      <c r="AI20">
        <f>SUMIF(Contratación!$A$2:$A$270,"188",Contratación!$N$2:$N$270)</f>
        <v>15956819</v>
      </c>
    </row>
    <row r="21" spans="1:35" ht="15" x14ac:dyDescent="0.25">
      <c r="A21" s="78">
        <v>184</v>
      </c>
      <c r="B21" s="76" t="s">
        <v>64</v>
      </c>
      <c r="C21" s="77">
        <v>2020680010074</v>
      </c>
      <c r="D21" s="76" t="s">
        <v>57</v>
      </c>
      <c r="E21" s="76" t="s">
        <v>218</v>
      </c>
      <c r="F21" s="78" t="s">
        <v>219</v>
      </c>
      <c r="G21" s="78" t="s">
        <v>117</v>
      </c>
      <c r="H21" s="78" t="s">
        <v>118</v>
      </c>
      <c r="I21" s="76" t="s">
        <v>220</v>
      </c>
      <c r="J21" s="76" t="s">
        <v>63</v>
      </c>
      <c r="K21" s="79">
        <v>44957</v>
      </c>
      <c r="L21" s="81">
        <v>26600000</v>
      </c>
      <c r="M21" s="81">
        <v>26600000</v>
      </c>
      <c r="N21" s="340">
        <v>3800000</v>
      </c>
      <c r="O21" s="76" t="s">
        <v>221</v>
      </c>
      <c r="Q21" s="327">
        <f>Gastos_Febrero!$M$84</f>
        <v>541456051</v>
      </c>
      <c r="W21">
        <f>SUMIF(Contratación!$A$2:$A$270,"302",Contratación!$L$2:$L$270)</f>
        <v>538083602</v>
      </c>
      <c r="AC21">
        <f>SUMIF(Contratación!$A$2:$A$270,"302",Contratación!$M$2:$M$270)</f>
        <v>538083602</v>
      </c>
      <c r="AI21">
        <f>SUMIF(Contratación!$A$2:$A$270,"302",Contratación!$N$2:$N$270)</f>
        <v>110296666</v>
      </c>
    </row>
    <row r="22" spans="1:35" ht="15" x14ac:dyDescent="0.2">
      <c r="A22" s="84">
        <v>184</v>
      </c>
      <c r="B22" s="76" t="s">
        <v>64</v>
      </c>
      <c r="C22" s="77">
        <v>2020680010074</v>
      </c>
      <c r="D22" s="76" t="s">
        <v>57</v>
      </c>
      <c r="E22" s="76" t="s">
        <v>865</v>
      </c>
      <c r="F22" s="78" t="s">
        <v>854</v>
      </c>
      <c r="G22" s="79" t="s">
        <v>117</v>
      </c>
      <c r="H22" s="85" t="s">
        <v>118</v>
      </c>
      <c r="I22" s="76" t="s">
        <v>840</v>
      </c>
      <c r="J22" s="76" t="s">
        <v>63</v>
      </c>
      <c r="K22" s="79">
        <v>44987</v>
      </c>
      <c r="L22" s="86">
        <v>13300000</v>
      </c>
      <c r="M22" s="86">
        <v>13300000</v>
      </c>
      <c r="N22" s="333"/>
      <c r="O22" s="333"/>
      <c r="Q22" s="51"/>
    </row>
    <row r="23" spans="1:35" ht="15" x14ac:dyDescent="0.2">
      <c r="A23" s="84">
        <v>185</v>
      </c>
      <c r="B23" s="76" t="s">
        <v>67</v>
      </c>
      <c r="C23" s="77">
        <v>2020680010074</v>
      </c>
      <c r="D23" s="76" t="s">
        <v>57</v>
      </c>
      <c r="E23" s="76" t="s">
        <v>865</v>
      </c>
      <c r="F23" s="78" t="s">
        <v>854</v>
      </c>
      <c r="G23" s="79" t="s">
        <v>117</v>
      </c>
      <c r="H23" s="85" t="s">
        <v>118</v>
      </c>
      <c r="I23" s="76" t="s">
        <v>840</v>
      </c>
      <c r="J23" s="76" t="s">
        <v>63</v>
      </c>
      <c r="K23" s="79">
        <v>44987</v>
      </c>
      <c r="L23" s="86">
        <v>13300000</v>
      </c>
      <c r="M23" s="86">
        <v>13300000</v>
      </c>
      <c r="N23" s="333"/>
      <c r="O23" s="333"/>
    </row>
    <row r="24" spans="1:35" ht="15" x14ac:dyDescent="0.25">
      <c r="A24" s="78">
        <v>184</v>
      </c>
      <c r="B24" s="76" t="s">
        <v>64</v>
      </c>
      <c r="C24" s="77">
        <v>2020680010074</v>
      </c>
      <c r="D24" s="76" t="s">
        <v>57</v>
      </c>
      <c r="E24" s="76" t="s">
        <v>269</v>
      </c>
      <c r="F24" s="78" t="s">
        <v>270</v>
      </c>
      <c r="G24" s="78" t="s">
        <v>117</v>
      </c>
      <c r="H24" s="78" t="s">
        <v>118</v>
      </c>
      <c r="I24" s="76" t="s">
        <v>271</v>
      </c>
      <c r="J24" s="76" t="s">
        <v>63</v>
      </c>
      <c r="K24" s="79">
        <v>44957</v>
      </c>
      <c r="L24" s="81">
        <v>11025000</v>
      </c>
      <c r="M24" s="81">
        <v>11025000</v>
      </c>
      <c r="N24" s="340">
        <v>2756250</v>
      </c>
      <c r="O24" s="76" t="s">
        <v>272</v>
      </c>
    </row>
    <row r="25" spans="1:35" ht="15" x14ac:dyDescent="0.2">
      <c r="A25" s="84">
        <v>184</v>
      </c>
      <c r="B25" s="76" t="s">
        <v>64</v>
      </c>
      <c r="C25" s="77">
        <v>2020680010074</v>
      </c>
      <c r="D25" s="76" t="s">
        <v>57</v>
      </c>
      <c r="E25" s="76" t="s">
        <v>863</v>
      </c>
      <c r="F25" s="78" t="s">
        <v>852</v>
      </c>
      <c r="G25" s="79" t="s">
        <v>117</v>
      </c>
      <c r="H25" s="85" t="s">
        <v>118</v>
      </c>
      <c r="I25" s="76" t="s">
        <v>838</v>
      </c>
      <c r="J25" s="76" t="s">
        <v>63</v>
      </c>
      <c r="K25" s="79">
        <v>44986</v>
      </c>
      <c r="L25" s="86">
        <v>13300000</v>
      </c>
      <c r="M25" s="86">
        <v>13300000</v>
      </c>
      <c r="N25" s="333"/>
      <c r="O25" s="333"/>
    </row>
    <row r="26" spans="1:35" ht="15" x14ac:dyDescent="0.2">
      <c r="A26" s="84">
        <v>185</v>
      </c>
      <c r="B26" s="76" t="s">
        <v>67</v>
      </c>
      <c r="C26" s="77">
        <v>2020680010074</v>
      </c>
      <c r="D26" s="76" t="s">
        <v>57</v>
      </c>
      <c r="E26" s="76" t="s">
        <v>863</v>
      </c>
      <c r="F26" s="78" t="s">
        <v>852</v>
      </c>
      <c r="G26" s="79" t="s">
        <v>117</v>
      </c>
      <c r="H26" s="85" t="s">
        <v>118</v>
      </c>
      <c r="I26" s="76" t="s">
        <v>838</v>
      </c>
      <c r="J26" s="76" t="s">
        <v>63</v>
      </c>
      <c r="K26" s="79">
        <v>44986</v>
      </c>
      <c r="L26" s="86">
        <v>13300000</v>
      </c>
      <c r="M26" s="86">
        <v>13300000</v>
      </c>
      <c r="N26" s="333"/>
      <c r="O26" s="333"/>
    </row>
    <row r="27" spans="1:35" ht="15" x14ac:dyDescent="0.2">
      <c r="A27" s="84">
        <v>184</v>
      </c>
      <c r="B27" s="76" t="s">
        <v>64</v>
      </c>
      <c r="C27" s="77">
        <v>2020680010074</v>
      </c>
      <c r="D27" s="76" t="s">
        <v>57</v>
      </c>
      <c r="E27" s="76" t="s">
        <v>890</v>
      </c>
      <c r="F27" s="78" t="s">
        <v>882</v>
      </c>
      <c r="G27" s="79" t="s">
        <v>117</v>
      </c>
      <c r="H27" s="85" t="s">
        <v>118</v>
      </c>
      <c r="I27" s="76" t="s">
        <v>874</v>
      </c>
      <c r="J27" s="76" t="s">
        <v>63</v>
      </c>
      <c r="K27" s="79">
        <v>45007</v>
      </c>
      <c r="L27" s="86">
        <v>13300000</v>
      </c>
      <c r="M27" s="86">
        <v>13300000</v>
      </c>
      <c r="N27" s="333"/>
      <c r="O27" s="333"/>
    </row>
    <row r="28" spans="1:35" ht="15" x14ac:dyDescent="0.2">
      <c r="A28" s="84">
        <v>185</v>
      </c>
      <c r="B28" s="76" t="s">
        <v>67</v>
      </c>
      <c r="C28" s="77">
        <v>2020680010074</v>
      </c>
      <c r="D28" s="76" t="s">
        <v>57</v>
      </c>
      <c r="E28" s="76" t="s">
        <v>890</v>
      </c>
      <c r="F28" s="78" t="s">
        <v>882</v>
      </c>
      <c r="G28" s="79" t="s">
        <v>117</v>
      </c>
      <c r="H28" s="85" t="s">
        <v>118</v>
      </c>
      <c r="I28" s="76" t="s">
        <v>874</v>
      </c>
      <c r="J28" s="76" t="s">
        <v>63</v>
      </c>
      <c r="K28" s="79">
        <v>45007</v>
      </c>
      <c r="L28" s="86">
        <v>13300000</v>
      </c>
      <c r="M28" s="86">
        <v>13300000</v>
      </c>
      <c r="N28" s="333"/>
      <c r="O28" s="333"/>
    </row>
    <row r="29" spans="1:35" ht="15" x14ac:dyDescent="0.25">
      <c r="A29" s="78">
        <v>184</v>
      </c>
      <c r="B29" s="76" t="s">
        <v>64</v>
      </c>
      <c r="C29" s="77">
        <v>2020680010074</v>
      </c>
      <c r="D29" s="76" t="s">
        <v>57</v>
      </c>
      <c r="E29" s="76" t="s">
        <v>273</v>
      </c>
      <c r="F29" s="78" t="s">
        <v>274</v>
      </c>
      <c r="G29" s="78" t="s">
        <v>117</v>
      </c>
      <c r="H29" s="78" t="s">
        <v>118</v>
      </c>
      <c r="I29" s="76" t="s">
        <v>275</v>
      </c>
      <c r="J29" s="76" t="s">
        <v>63</v>
      </c>
      <c r="K29" s="79">
        <v>44978</v>
      </c>
      <c r="L29" s="81">
        <v>11025000</v>
      </c>
      <c r="M29" s="81">
        <v>11025000</v>
      </c>
      <c r="N29" s="340">
        <v>918750</v>
      </c>
      <c r="O29" s="83" t="s">
        <v>276</v>
      </c>
    </row>
    <row r="30" spans="1:35" ht="15" x14ac:dyDescent="0.25">
      <c r="A30" s="78">
        <v>182</v>
      </c>
      <c r="B30" s="76" t="s">
        <v>55</v>
      </c>
      <c r="C30" s="77">
        <v>2020680010074</v>
      </c>
      <c r="D30" s="76" t="s">
        <v>57</v>
      </c>
      <c r="E30" s="76" t="s">
        <v>184</v>
      </c>
      <c r="F30" s="78" t="s">
        <v>127</v>
      </c>
      <c r="G30" s="78" t="s">
        <v>128</v>
      </c>
      <c r="H30" s="78" t="s">
        <v>118</v>
      </c>
      <c r="I30" s="76" t="s">
        <v>129</v>
      </c>
      <c r="J30" s="76" t="s">
        <v>63</v>
      </c>
      <c r="K30" s="79">
        <v>44974</v>
      </c>
      <c r="L30" s="81">
        <v>79005242</v>
      </c>
      <c r="M30" s="81">
        <v>79005242</v>
      </c>
      <c r="N30" s="340">
        <v>0</v>
      </c>
      <c r="O30" s="76" t="s">
        <v>185</v>
      </c>
    </row>
    <row r="31" spans="1:35" ht="15" x14ac:dyDescent="0.25">
      <c r="A31" s="78">
        <v>182</v>
      </c>
      <c r="B31" s="76" t="s">
        <v>55</v>
      </c>
      <c r="C31" s="77">
        <v>2020680010074</v>
      </c>
      <c r="D31" s="76" t="s">
        <v>57</v>
      </c>
      <c r="E31" s="76" t="s">
        <v>186</v>
      </c>
      <c r="F31" s="78" t="s">
        <v>187</v>
      </c>
      <c r="G31" s="78" t="s">
        <v>187</v>
      </c>
      <c r="H31" s="78" t="s">
        <v>118</v>
      </c>
      <c r="I31" s="76" t="s">
        <v>188</v>
      </c>
      <c r="J31" s="76" t="s">
        <v>189</v>
      </c>
      <c r="K31" s="79">
        <v>44980</v>
      </c>
      <c r="L31" s="81">
        <v>68750000</v>
      </c>
      <c r="M31" s="81">
        <v>68750000</v>
      </c>
      <c r="N31" s="340">
        <v>0</v>
      </c>
      <c r="O31" s="76" t="s">
        <v>190</v>
      </c>
    </row>
    <row r="32" spans="1:35" ht="15" x14ac:dyDescent="0.2">
      <c r="A32" s="84">
        <v>184</v>
      </c>
      <c r="B32" s="76" t="s">
        <v>64</v>
      </c>
      <c r="C32" s="77">
        <v>2020680010074</v>
      </c>
      <c r="D32" s="76" t="s">
        <v>57</v>
      </c>
      <c r="E32" s="76" t="s">
        <v>894</v>
      </c>
      <c r="F32" s="78" t="s">
        <v>886</v>
      </c>
      <c r="G32" s="79" t="s">
        <v>117</v>
      </c>
      <c r="H32" s="85" t="s">
        <v>118</v>
      </c>
      <c r="I32" s="76" t="s">
        <v>878</v>
      </c>
      <c r="J32" s="76" t="s">
        <v>63</v>
      </c>
      <c r="K32" s="79">
        <v>45012</v>
      </c>
      <c r="L32" s="86">
        <v>13300000</v>
      </c>
      <c r="M32" s="86">
        <v>13300000</v>
      </c>
      <c r="N32" s="333"/>
      <c r="O32" s="333"/>
    </row>
    <row r="33" spans="1:15" ht="15" x14ac:dyDescent="0.2">
      <c r="A33" s="84">
        <v>185</v>
      </c>
      <c r="B33" s="76" t="s">
        <v>67</v>
      </c>
      <c r="C33" s="77">
        <v>2020680010074</v>
      </c>
      <c r="D33" s="76" t="s">
        <v>57</v>
      </c>
      <c r="E33" s="76" t="s">
        <v>894</v>
      </c>
      <c r="F33" s="78" t="s">
        <v>886</v>
      </c>
      <c r="G33" s="79" t="s">
        <v>117</v>
      </c>
      <c r="H33" s="85" t="s">
        <v>118</v>
      </c>
      <c r="I33" s="76" t="s">
        <v>878</v>
      </c>
      <c r="J33" s="76" t="s">
        <v>63</v>
      </c>
      <c r="K33" s="79">
        <v>45012</v>
      </c>
      <c r="L33" s="86">
        <v>13300000</v>
      </c>
      <c r="M33" s="86">
        <v>13300000</v>
      </c>
      <c r="N33" s="333"/>
      <c r="O33" s="333"/>
    </row>
    <row r="34" spans="1:15" ht="15" x14ac:dyDescent="0.2">
      <c r="A34" s="84">
        <v>184</v>
      </c>
      <c r="B34" s="76" t="s">
        <v>64</v>
      </c>
      <c r="C34" s="77">
        <v>2020680010074</v>
      </c>
      <c r="D34" s="76" t="s">
        <v>57</v>
      </c>
      <c r="E34" s="76" t="s">
        <v>859</v>
      </c>
      <c r="F34" s="78" t="s">
        <v>848</v>
      </c>
      <c r="G34" s="79" t="s">
        <v>117</v>
      </c>
      <c r="H34" s="85" t="s">
        <v>118</v>
      </c>
      <c r="I34" s="76" t="s">
        <v>834</v>
      </c>
      <c r="J34" s="76" t="s">
        <v>63</v>
      </c>
      <c r="K34" s="79">
        <v>44986</v>
      </c>
      <c r="L34" s="86">
        <v>13300000</v>
      </c>
      <c r="M34" s="86">
        <v>13300000</v>
      </c>
      <c r="N34" s="333"/>
      <c r="O34" s="333"/>
    </row>
    <row r="35" spans="1:15" ht="15" x14ac:dyDescent="0.2">
      <c r="A35" s="84">
        <v>185</v>
      </c>
      <c r="B35" s="76" t="s">
        <v>67</v>
      </c>
      <c r="C35" s="77">
        <v>2020680010074</v>
      </c>
      <c r="D35" s="76" t="s">
        <v>57</v>
      </c>
      <c r="E35" s="76" t="s">
        <v>859</v>
      </c>
      <c r="F35" s="78" t="s">
        <v>848</v>
      </c>
      <c r="G35" s="79" t="s">
        <v>117</v>
      </c>
      <c r="H35" s="85" t="s">
        <v>118</v>
      </c>
      <c r="I35" s="76" t="s">
        <v>834</v>
      </c>
      <c r="J35" s="76" t="s">
        <v>63</v>
      </c>
      <c r="K35" s="79">
        <v>44986</v>
      </c>
      <c r="L35" s="86">
        <v>13300000</v>
      </c>
      <c r="M35" s="86">
        <v>13300000</v>
      </c>
      <c r="N35" s="333"/>
      <c r="O35" s="333"/>
    </row>
    <row r="36" spans="1:15" ht="15" x14ac:dyDescent="0.2">
      <c r="A36" s="84">
        <v>184</v>
      </c>
      <c r="B36" s="76" t="s">
        <v>64</v>
      </c>
      <c r="C36" s="77">
        <v>2020680010074</v>
      </c>
      <c r="D36" s="76" t="s">
        <v>57</v>
      </c>
      <c r="E36" s="76" t="s">
        <v>889</v>
      </c>
      <c r="F36" s="78" t="s">
        <v>881</v>
      </c>
      <c r="G36" s="79" t="s">
        <v>117</v>
      </c>
      <c r="H36" s="85" t="s">
        <v>118</v>
      </c>
      <c r="I36" s="76" t="s">
        <v>873</v>
      </c>
      <c r="J36" s="76" t="s">
        <v>63</v>
      </c>
      <c r="K36" s="79">
        <v>44999</v>
      </c>
      <c r="L36" s="86">
        <v>11400000</v>
      </c>
      <c r="M36" s="86">
        <v>11400000</v>
      </c>
      <c r="N36" s="333"/>
      <c r="O36" s="333"/>
    </row>
    <row r="37" spans="1:15" ht="15" x14ac:dyDescent="0.2">
      <c r="A37" s="84">
        <v>185</v>
      </c>
      <c r="B37" s="76" t="s">
        <v>67</v>
      </c>
      <c r="C37" s="77">
        <v>2020680010074</v>
      </c>
      <c r="D37" s="76" t="s">
        <v>57</v>
      </c>
      <c r="E37" s="76" t="s">
        <v>889</v>
      </c>
      <c r="F37" s="78" t="s">
        <v>881</v>
      </c>
      <c r="G37" s="79" t="s">
        <v>117</v>
      </c>
      <c r="H37" s="85" t="s">
        <v>118</v>
      </c>
      <c r="I37" s="76" t="s">
        <v>873</v>
      </c>
      <c r="J37" s="76" t="s">
        <v>63</v>
      </c>
      <c r="K37" s="79">
        <v>44999</v>
      </c>
      <c r="L37" s="86">
        <v>11400000</v>
      </c>
      <c r="M37" s="86">
        <v>11400000</v>
      </c>
      <c r="N37" s="333"/>
      <c r="O37" s="333"/>
    </row>
    <row r="38" spans="1:15" ht="15" x14ac:dyDescent="0.25">
      <c r="A38" s="78">
        <v>184</v>
      </c>
      <c r="B38" s="76" t="s">
        <v>64</v>
      </c>
      <c r="C38" s="77">
        <v>2020680010074</v>
      </c>
      <c r="D38" s="76" t="s">
        <v>57</v>
      </c>
      <c r="E38" s="76" t="s">
        <v>230</v>
      </c>
      <c r="F38" s="78" t="s">
        <v>231</v>
      </c>
      <c r="G38" s="78" t="s">
        <v>117</v>
      </c>
      <c r="H38" s="78" t="s">
        <v>118</v>
      </c>
      <c r="I38" s="76" t="s">
        <v>232</v>
      </c>
      <c r="J38" s="76" t="s">
        <v>63</v>
      </c>
      <c r="K38" s="79">
        <v>44957</v>
      </c>
      <c r="L38" s="81">
        <v>24000000</v>
      </c>
      <c r="M38" s="81">
        <v>24000000</v>
      </c>
      <c r="N38" s="340">
        <v>4000000</v>
      </c>
      <c r="O38" s="76" t="s">
        <v>233</v>
      </c>
    </row>
    <row r="39" spans="1:15" ht="15" x14ac:dyDescent="0.25">
      <c r="A39" s="78">
        <v>184</v>
      </c>
      <c r="B39" s="76" t="s">
        <v>64</v>
      </c>
      <c r="C39" s="77">
        <v>2020680010074</v>
      </c>
      <c r="D39" s="76" t="s">
        <v>57</v>
      </c>
      <c r="E39" s="76" t="s">
        <v>262</v>
      </c>
      <c r="F39" s="78" t="s">
        <v>127</v>
      </c>
      <c r="G39" s="78" t="s">
        <v>200</v>
      </c>
      <c r="H39" s="78" t="s">
        <v>118</v>
      </c>
      <c r="I39" s="76" t="s">
        <v>263</v>
      </c>
      <c r="J39" s="76" t="s">
        <v>189</v>
      </c>
      <c r="K39" s="79">
        <v>44978</v>
      </c>
      <c r="L39" s="81">
        <v>15000000</v>
      </c>
      <c r="M39" s="81">
        <v>15000000</v>
      </c>
      <c r="N39" s="340">
        <v>15000000</v>
      </c>
      <c r="O39" s="76" t="s">
        <v>264</v>
      </c>
    </row>
    <row r="40" spans="1:15" ht="15" x14ac:dyDescent="0.25">
      <c r="A40" s="78">
        <v>182</v>
      </c>
      <c r="B40" s="76" t="s">
        <v>55</v>
      </c>
      <c r="C40" s="77">
        <v>2020680010074</v>
      </c>
      <c r="D40" s="76" t="s">
        <v>57</v>
      </c>
      <c r="E40" s="76" t="s">
        <v>180</v>
      </c>
      <c r="F40" s="78" t="s">
        <v>181</v>
      </c>
      <c r="G40" s="78" t="s">
        <v>128</v>
      </c>
      <c r="H40" s="78" t="s">
        <v>118</v>
      </c>
      <c r="I40" s="76" t="s">
        <v>182</v>
      </c>
      <c r="J40" s="76" t="s">
        <v>63</v>
      </c>
      <c r="K40" s="79">
        <v>44978</v>
      </c>
      <c r="L40" s="81">
        <v>351258394</v>
      </c>
      <c r="M40" s="81">
        <v>351258394</v>
      </c>
      <c r="N40" s="331">
        <v>0</v>
      </c>
      <c r="O40" s="76" t="s">
        <v>183</v>
      </c>
    </row>
    <row r="41" spans="1:15" ht="15" x14ac:dyDescent="0.25">
      <c r="A41" s="78">
        <v>184</v>
      </c>
      <c r="B41" s="76" t="s">
        <v>64</v>
      </c>
      <c r="C41" s="77">
        <v>2020680010074</v>
      </c>
      <c r="D41" s="76" t="s">
        <v>57</v>
      </c>
      <c r="E41" s="76" t="s">
        <v>199</v>
      </c>
      <c r="F41" s="78" t="s">
        <v>181</v>
      </c>
      <c r="G41" s="78" t="s">
        <v>200</v>
      </c>
      <c r="H41" s="78" t="s">
        <v>118</v>
      </c>
      <c r="I41" s="76" t="s">
        <v>201</v>
      </c>
      <c r="J41" s="76" t="s">
        <v>189</v>
      </c>
      <c r="K41" s="79">
        <v>44974</v>
      </c>
      <c r="L41" s="81">
        <v>55765500</v>
      </c>
      <c r="M41" s="81">
        <v>55765500</v>
      </c>
      <c r="N41" s="340">
        <v>55765500</v>
      </c>
      <c r="O41" s="82"/>
    </row>
    <row r="42" spans="1:15" ht="15" x14ac:dyDescent="0.25">
      <c r="A42" s="78">
        <v>184</v>
      </c>
      <c r="B42" s="76" t="s">
        <v>64</v>
      </c>
      <c r="C42" s="77">
        <v>2020680010074</v>
      </c>
      <c r="D42" s="76" t="s">
        <v>57</v>
      </c>
      <c r="E42" s="76" t="s">
        <v>246</v>
      </c>
      <c r="F42" s="78" t="s">
        <v>247</v>
      </c>
      <c r="G42" s="78" t="s">
        <v>117</v>
      </c>
      <c r="H42" s="78" t="s">
        <v>118</v>
      </c>
      <c r="I42" s="76" t="s">
        <v>248</v>
      </c>
      <c r="J42" s="76" t="s">
        <v>63</v>
      </c>
      <c r="K42" s="79">
        <v>44966</v>
      </c>
      <c r="L42" s="81">
        <v>18000000</v>
      </c>
      <c r="M42" s="81">
        <v>18000000</v>
      </c>
      <c r="N42" s="340">
        <v>2200000</v>
      </c>
      <c r="O42" s="83" t="s">
        <v>249</v>
      </c>
    </row>
    <row r="43" spans="1:15" ht="15" x14ac:dyDescent="0.2">
      <c r="A43" s="84">
        <v>184</v>
      </c>
      <c r="B43" s="76" t="s">
        <v>64</v>
      </c>
      <c r="C43" s="77">
        <v>2020680010074</v>
      </c>
      <c r="D43" s="1" t="s">
        <v>57</v>
      </c>
      <c r="E43" s="76" t="s">
        <v>866</v>
      </c>
      <c r="F43" s="78" t="s">
        <v>855</v>
      </c>
      <c r="G43" s="79" t="s">
        <v>117</v>
      </c>
      <c r="H43" s="85" t="s">
        <v>118</v>
      </c>
      <c r="I43" s="76" t="s">
        <v>841</v>
      </c>
      <c r="J43" s="76" t="s">
        <v>63</v>
      </c>
      <c r="K43" s="79">
        <v>44987</v>
      </c>
      <c r="L43" s="86">
        <v>13300000</v>
      </c>
      <c r="M43" s="86">
        <v>13300000</v>
      </c>
      <c r="N43" s="333"/>
      <c r="O43" s="333"/>
    </row>
    <row r="44" spans="1:15" ht="15" x14ac:dyDescent="0.2">
      <c r="A44" s="84">
        <v>185</v>
      </c>
      <c r="B44" s="76" t="s">
        <v>67</v>
      </c>
      <c r="C44" s="77">
        <v>2020680010074</v>
      </c>
      <c r="D44" s="1" t="s">
        <v>57</v>
      </c>
      <c r="E44" s="76" t="s">
        <v>866</v>
      </c>
      <c r="F44" s="78" t="s">
        <v>855</v>
      </c>
      <c r="G44" s="79" t="s">
        <v>117</v>
      </c>
      <c r="H44" s="85" t="s">
        <v>118</v>
      </c>
      <c r="I44" s="76" t="s">
        <v>841</v>
      </c>
      <c r="J44" s="76" t="s">
        <v>63</v>
      </c>
      <c r="K44" s="79">
        <v>44987</v>
      </c>
      <c r="L44" s="86">
        <v>13300000</v>
      </c>
      <c r="M44" s="86">
        <v>13300000</v>
      </c>
      <c r="N44" s="333"/>
      <c r="O44" s="333"/>
    </row>
    <row r="45" spans="1:15" ht="15" x14ac:dyDescent="0.25">
      <c r="A45" s="78">
        <v>184</v>
      </c>
      <c r="B45" s="76" t="s">
        <v>64</v>
      </c>
      <c r="C45" s="77">
        <v>2020680010074</v>
      </c>
      <c r="D45" s="1" t="s">
        <v>57</v>
      </c>
      <c r="E45" s="76" t="s">
        <v>222</v>
      </c>
      <c r="F45" s="78" t="s">
        <v>223</v>
      </c>
      <c r="G45" s="78" t="s">
        <v>117</v>
      </c>
      <c r="H45" s="78" t="s">
        <v>118</v>
      </c>
      <c r="I45" s="76" t="s">
        <v>224</v>
      </c>
      <c r="J45" s="76" t="s">
        <v>63</v>
      </c>
      <c r="K45" s="79">
        <v>44949</v>
      </c>
      <c r="L45" s="81">
        <v>26600000</v>
      </c>
      <c r="M45" s="81">
        <v>26600000</v>
      </c>
      <c r="N45" s="340">
        <f>1013333+3800000</f>
        <v>4813333</v>
      </c>
      <c r="O45" s="76" t="s">
        <v>225</v>
      </c>
    </row>
    <row r="46" spans="1:15" ht="15" x14ac:dyDescent="0.25">
      <c r="A46" s="78">
        <v>184</v>
      </c>
      <c r="B46" s="76" t="s">
        <v>64</v>
      </c>
      <c r="C46" s="77">
        <v>2020680010074</v>
      </c>
      <c r="D46" s="1" t="s">
        <v>57</v>
      </c>
      <c r="E46" s="76" t="s">
        <v>234</v>
      </c>
      <c r="F46" s="78" t="s">
        <v>235</v>
      </c>
      <c r="G46" s="78" t="s">
        <v>117</v>
      </c>
      <c r="H46" s="78" t="s">
        <v>118</v>
      </c>
      <c r="I46" s="76" t="s">
        <v>236</v>
      </c>
      <c r="J46" s="76" t="s">
        <v>63</v>
      </c>
      <c r="K46" s="79">
        <v>44957</v>
      </c>
      <c r="L46" s="81">
        <v>24000000</v>
      </c>
      <c r="M46" s="81">
        <v>24000000</v>
      </c>
      <c r="N46" s="340">
        <v>4000000</v>
      </c>
      <c r="O46" s="76" t="s">
        <v>237</v>
      </c>
    </row>
    <row r="47" spans="1:15" ht="15" x14ac:dyDescent="0.25">
      <c r="A47" s="78">
        <v>184</v>
      </c>
      <c r="B47" s="76" t="s">
        <v>64</v>
      </c>
      <c r="C47" s="77">
        <v>2020680010074</v>
      </c>
      <c r="D47" s="1" t="s">
        <v>57</v>
      </c>
      <c r="E47" s="76" t="s">
        <v>265</v>
      </c>
      <c r="F47" s="78" t="s">
        <v>266</v>
      </c>
      <c r="G47" s="78" t="s">
        <v>117</v>
      </c>
      <c r="H47" s="78" t="s">
        <v>118</v>
      </c>
      <c r="I47" s="76" t="s">
        <v>267</v>
      </c>
      <c r="J47" s="76" t="s">
        <v>63</v>
      </c>
      <c r="K47" s="79">
        <v>44952</v>
      </c>
      <c r="L47" s="81">
        <v>13200000</v>
      </c>
      <c r="M47" s="81">
        <v>13200000</v>
      </c>
      <c r="N47" s="340">
        <f>550000+3300000</f>
        <v>3850000</v>
      </c>
      <c r="O47" s="76" t="s">
        <v>268</v>
      </c>
    </row>
    <row r="48" spans="1:15" ht="15" x14ac:dyDescent="0.25">
      <c r="A48" s="78">
        <v>184</v>
      </c>
      <c r="B48" s="76" t="s">
        <v>64</v>
      </c>
      <c r="C48" s="77">
        <v>2020680010074</v>
      </c>
      <c r="D48" s="1" t="s">
        <v>57</v>
      </c>
      <c r="E48" s="76" t="s">
        <v>258</v>
      </c>
      <c r="F48" s="78" t="s">
        <v>259</v>
      </c>
      <c r="G48" s="78" t="s">
        <v>117</v>
      </c>
      <c r="H48" s="78" t="s">
        <v>118</v>
      </c>
      <c r="I48" s="76" t="s">
        <v>260</v>
      </c>
      <c r="J48" s="76" t="s">
        <v>63</v>
      </c>
      <c r="K48" s="79">
        <v>44967</v>
      </c>
      <c r="L48" s="81">
        <v>15200000</v>
      </c>
      <c r="M48" s="81">
        <v>15200000</v>
      </c>
      <c r="N48" s="340">
        <v>2660000</v>
      </c>
      <c r="O48" s="83" t="s">
        <v>261</v>
      </c>
    </row>
    <row r="49" spans="1:15" ht="15" x14ac:dyDescent="0.2">
      <c r="A49" s="84">
        <v>184</v>
      </c>
      <c r="B49" s="76" t="s">
        <v>64</v>
      </c>
      <c r="C49" s="77">
        <v>2020680010074</v>
      </c>
      <c r="D49" s="1" t="s">
        <v>57</v>
      </c>
      <c r="E49" s="76" t="s">
        <v>868</v>
      </c>
      <c r="F49" s="78" t="s">
        <v>856</v>
      </c>
      <c r="G49" s="79" t="s">
        <v>117</v>
      </c>
      <c r="H49" s="85" t="s">
        <v>118</v>
      </c>
      <c r="I49" s="76" t="s">
        <v>843</v>
      </c>
      <c r="J49" s="76" t="s">
        <v>63</v>
      </c>
      <c r="K49" s="79">
        <v>44995</v>
      </c>
      <c r="L49" s="86">
        <v>8268750</v>
      </c>
      <c r="M49" s="86">
        <v>8268750</v>
      </c>
      <c r="N49" s="333"/>
      <c r="O49" s="333"/>
    </row>
    <row r="50" spans="1:15" ht="15" x14ac:dyDescent="0.2">
      <c r="A50" s="84">
        <v>185</v>
      </c>
      <c r="B50" s="76" t="s">
        <v>67</v>
      </c>
      <c r="C50" s="77">
        <v>2020680010074</v>
      </c>
      <c r="D50" s="1" t="s">
        <v>57</v>
      </c>
      <c r="E50" s="76" t="s">
        <v>868</v>
      </c>
      <c r="F50" s="78" t="s">
        <v>856</v>
      </c>
      <c r="G50" s="79" t="s">
        <v>117</v>
      </c>
      <c r="H50" s="85" t="s">
        <v>118</v>
      </c>
      <c r="I50" s="76" t="s">
        <v>843</v>
      </c>
      <c r="J50" s="76" t="s">
        <v>63</v>
      </c>
      <c r="K50" s="79">
        <v>44995</v>
      </c>
      <c r="L50" s="86">
        <v>8268750</v>
      </c>
      <c r="M50" s="86">
        <v>8268750</v>
      </c>
      <c r="N50" s="333"/>
      <c r="O50" s="333"/>
    </row>
    <row r="51" spans="1:15" ht="15" x14ac:dyDescent="0.2">
      <c r="A51" s="84">
        <v>184</v>
      </c>
      <c r="B51" s="76" t="s">
        <v>64</v>
      </c>
      <c r="C51" s="77">
        <v>2020680010074</v>
      </c>
      <c r="D51" s="1" t="s">
        <v>57</v>
      </c>
      <c r="E51" s="76" t="s">
        <v>871</v>
      </c>
      <c r="F51" s="78" t="s">
        <v>857</v>
      </c>
      <c r="G51" s="79" t="s">
        <v>117</v>
      </c>
      <c r="H51" s="85" t="s">
        <v>118</v>
      </c>
      <c r="I51" s="76" t="s">
        <v>846</v>
      </c>
      <c r="J51" s="76" t="s">
        <v>63</v>
      </c>
      <c r="K51" s="79">
        <v>44999</v>
      </c>
      <c r="L51" s="86">
        <v>11400000</v>
      </c>
      <c r="M51" s="86">
        <v>11400000</v>
      </c>
      <c r="N51" s="333"/>
      <c r="O51" s="333"/>
    </row>
    <row r="52" spans="1:15" ht="15" x14ac:dyDescent="0.2">
      <c r="A52" s="84">
        <v>185</v>
      </c>
      <c r="B52" s="76" t="s">
        <v>67</v>
      </c>
      <c r="C52" s="77">
        <v>2020680010074</v>
      </c>
      <c r="D52" s="1" t="s">
        <v>57</v>
      </c>
      <c r="E52" s="76" t="s">
        <v>871</v>
      </c>
      <c r="F52" s="78" t="s">
        <v>857</v>
      </c>
      <c r="G52" s="79" t="s">
        <v>117</v>
      </c>
      <c r="H52" s="85" t="s">
        <v>118</v>
      </c>
      <c r="I52" s="76" t="s">
        <v>846</v>
      </c>
      <c r="J52" s="76" t="s">
        <v>63</v>
      </c>
      <c r="K52" s="79">
        <v>44999</v>
      </c>
      <c r="L52" s="86">
        <v>11400000</v>
      </c>
      <c r="M52" s="86">
        <v>11400000</v>
      </c>
      <c r="N52" s="333"/>
      <c r="O52" s="333"/>
    </row>
    <row r="53" spans="1:15" ht="15" x14ac:dyDescent="0.2">
      <c r="A53" s="77">
        <v>184</v>
      </c>
      <c r="B53" s="76" t="s">
        <v>64</v>
      </c>
      <c r="C53" s="77">
        <v>2020680010074</v>
      </c>
      <c r="D53" s="1" t="s">
        <v>57</v>
      </c>
      <c r="E53" s="76" t="s">
        <v>861</v>
      </c>
      <c r="F53" s="78" t="s">
        <v>850</v>
      </c>
      <c r="G53" s="79" t="s">
        <v>117</v>
      </c>
      <c r="H53" s="85" t="s">
        <v>118</v>
      </c>
      <c r="I53" s="76" t="s">
        <v>836</v>
      </c>
      <c r="J53" s="76" t="s">
        <v>63</v>
      </c>
      <c r="K53" s="79">
        <v>44986</v>
      </c>
      <c r="L53" s="86">
        <v>16537500</v>
      </c>
      <c r="M53" s="86">
        <v>16537500</v>
      </c>
      <c r="N53" s="333"/>
      <c r="O53" s="76"/>
    </row>
    <row r="54" spans="1:15" ht="15" x14ac:dyDescent="0.25">
      <c r="A54" s="78">
        <v>184</v>
      </c>
      <c r="B54" s="76" t="s">
        <v>64</v>
      </c>
      <c r="C54" s="77">
        <v>2020680010074</v>
      </c>
      <c r="D54" s="1" t="s">
        <v>57</v>
      </c>
      <c r="E54" s="76" t="s">
        <v>250</v>
      </c>
      <c r="F54" s="78" t="s">
        <v>251</v>
      </c>
      <c r="G54" s="78" t="s">
        <v>117</v>
      </c>
      <c r="H54" s="78" t="s">
        <v>118</v>
      </c>
      <c r="I54" s="76" t="s">
        <v>252</v>
      </c>
      <c r="J54" s="76" t="s">
        <v>63</v>
      </c>
      <c r="K54" s="79">
        <v>44953</v>
      </c>
      <c r="L54" s="81">
        <v>16537500</v>
      </c>
      <c r="M54" s="81">
        <v>16537500</v>
      </c>
      <c r="N54" s="340">
        <f>367500+2756250</f>
        <v>3123750</v>
      </c>
      <c r="O54" s="76" t="s">
        <v>253</v>
      </c>
    </row>
    <row r="55" spans="1:15" ht="15" x14ac:dyDescent="0.2">
      <c r="A55" s="84">
        <v>184</v>
      </c>
      <c r="B55" s="76" t="s">
        <v>64</v>
      </c>
      <c r="C55" s="77">
        <v>2020680010074</v>
      </c>
      <c r="D55" s="76" t="s">
        <v>57</v>
      </c>
      <c r="E55" s="76" t="s">
        <v>860</v>
      </c>
      <c r="F55" s="78" t="s">
        <v>849</v>
      </c>
      <c r="G55" s="79" t="s">
        <v>117</v>
      </c>
      <c r="H55" s="85" t="s">
        <v>118</v>
      </c>
      <c r="I55" s="76" t="s">
        <v>835</v>
      </c>
      <c r="J55" s="76" t="s">
        <v>63</v>
      </c>
      <c r="K55" s="79">
        <v>44986</v>
      </c>
      <c r="L55" s="86">
        <v>13300000</v>
      </c>
      <c r="M55" s="86">
        <v>13300000</v>
      </c>
      <c r="N55" s="333"/>
      <c r="O55" s="333"/>
    </row>
    <row r="56" spans="1:15" ht="15" x14ac:dyDescent="0.2">
      <c r="A56" s="84">
        <v>185</v>
      </c>
      <c r="B56" s="76" t="s">
        <v>67</v>
      </c>
      <c r="C56" s="77">
        <v>2020680010074</v>
      </c>
      <c r="D56" s="76" t="s">
        <v>57</v>
      </c>
      <c r="E56" s="76" t="s">
        <v>860</v>
      </c>
      <c r="F56" s="78" t="s">
        <v>849</v>
      </c>
      <c r="G56" s="79" t="s">
        <v>117</v>
      </c>
      <c r="H56" s="85" t="s">
        <v>118</v>
      </c>
      <c r="I56" s="76" t="s">
        <v>835</v>
      </c>
      <c r="J56" s="76" t="s">
        <v>63</v>
      </c>
      <c r="K56" s="79">
        <v>44986</v>
      </c>
      <c r="L56" s="86">
        <v>13300000</v>
      </c>
      <c r="M56" s="86">
        <v>13300000</v>
      </c>
      <c r="N56" s="333"/>
      <c r="O56" s="333"/>
    </row>
    <row r="57" spans="1:15" ht="15" x14ac:dyDescent="0.25">
      <c r="A57" s="78">
        <v>183</v>
      </c>
      <c r="B57" s="76" t="s">
        <v>60</v>
      </c>
      <c r="C57" s="77">
        <v>2020680010074</v>
      </c>
      <c r="D57" s="76" t="s">
        <v>57</v>
      </c>
      <c r="E57" s="76" t="s">
        <v>195</v>
      </c>
      <c r="F57" s="78" t="s">
        <v>196</v>
      </c>
      <c r="G57" s="78" t="s">
        <v>117</v>
      </c>
      <c r="H57" s="78" t="s">
        <v>118</v>
      </c>
      <c r="I57" s="76" t="s">
        <v>197</v>
      </c>
      <c r="J57" s="76" t="s">
        <v>63</v>
      </c>
      <c r="K57" s="79">
        <v>44986</v>
      </c>
      <c r="L57" s="86">
        <v>18900000</v>
      </c>
      <c r="M57" s="86">
        <v>18900000</v>
      </c>
      <c r="N57" s="340">
        <v>0</v>
      </c>
      <c r="O57" s="76" t="s">
        <v>198</v>
      </c>
    </row>
    <row r="58" spans="1:15" ht="15" x14ac:dyDescent="0.2">
      <c r="A58" s="77">
        <v>184</v>
      </c>
      <c r="B58" s="76" t="s">
        <v>64</v>
      </c>
      <c r="C58" s="77">
        <v>2020680010074</v>
      </c>
      <c r="D58" s="76" t="s">
        <v>57</v>
      </c>
      <c r="E58" s="76" t="s">
        <v>891</v>
      </c>
      <c r="F58" s="78" t="s">
        <v>883</v>
      </c>
      <c r="G58" s="79" t="s">
        <v>117</v>
      </c>
      <c r="H58" s="85" t="s">
        <v>118</v>
      </c>
      <c r="I58" s="76" t="s">
        <v>875</v>
      </c>
      <c r="J58" s="76" t="s">
        <v>63</v>
      </c>
      <c r="K58" s="79">
        <v>45008</v>
      </c>
      <c r="L58" s="86">
        <v>22800000</v>
      </c>
      <c r="M58" s="86">
        <v>22800000</v>
      </c>
      <c r="N58" s="333"/>
      <c r="O58" s="76"/>
    </row>
    <row r="59" spans="1:15" ht="15" x14ac:dyDescent="0.25">
      <c r="A59" s="78">
        <v>184</v>
      </c>
      <c r="B59" s="76" t="s">
        <v>64</v>
      </c>
      <c r="C59" s="77">
        <v>2020680010074</v>
      </c>
      <c r="D59" s="76" t="s">
        <v>57</v>
      </c>
      <c r="E59" s="76" t="s">
        <v>214</v>
      </c>
      <c r="F59" s="78" t="s">
        <v>215</v>
      </c>
      <c r="G59" s="78" t="s">
        <v>117</v>
      </c>
      <c r="H59" s="78" t="s">
        <v>118</v>
      </c>
      <c r="I59" s="76" t="s">
        <v>216</v>
      </c>
      <c r="J59" s="76" t="s">
        <v>63</v>
      </c>
      <c r="K59" s="79">
        <v>44952</v>
      </c>
      <c r="L59" s="81">
        <v>33600000</v>
      </c>
      <c r="M59" s="81">
        <v>33600000</v>
      </c>
      <c r="N59" s="340">
        <f>700000+4200000</f>
        <v>4900000</v>
      </c>
      <c r="O59" s="76" t="s">
        <v>217</v>
      </c>
    </row>
    <row r="60" spans="1:15" ht="15" x14ac:dyDescent="0.2">
      <c r="A60" s="78">
        <v>184</v>
      </c>
      <c r="B60" s="76" t="s">
        <v>64</v>
      </c>
      <c r="C60" s="77">
        <v>2020680010074</v>
      </c>
      <c r="D60" s="76" t="s">
        <v>57</v>
      </c>
      <c r="E60" s="76" t="s">
        <v>887</v>
      </c>
      <c r="F60" s="78" t="s">
        <v>897</v>
      </c>
      <c r="G60" s="78" t="s">
        <v>200</v>
      </c>
      <c r="H60" s="85" t="s">
        <v>118</v>
      </c>
      <c r="I60" s="76" t="s">
        <v>896</v>
      </c>
      <c r="J60" s="76" t="s">
        <v>189</v>
      </c>
      <c r="K60" s="79">
        <v>45002</v>
      </c>
      <c r="L60" s="86">
        <v>22200000</v>
      </c>
      <c r="M60" s="86">
        <v>22200000</v>
      </c>
      <c r="N60" s="333"/>
      <c r="O60" s="76"/>
    </row>
    <row r="61" spans="1:15" ht="15" x14ac:dyDescent="0.2">
      <c r="A61" s="84">
        <v>184</v>
      </c>
      <c r="B61" s="76" t="s">
        <v>64</v>
      </c>
      <c r="C61" s="77">
        <v>2020680010074</v>
      </c>
      <c r="D61" s="76" t="s">
        <v>57</v>
      </c>
      <c r="E61" s="76" t="s">
        <v>864</v>
      </c>
      <c r="F61" s="78" t="s">
        <v>853</v>
      </c>
      <c r="G61" s="79" t="s">
        <v>117</v>
      </c>
      <c r="H61" s="85" t="s">
        <v>118</v>
      </c>
      <c r="I61" s="76" t="s">
        <v>839</v>
      </c>
      <c r="J61" s="76" t="s">
        <v>63</v>
      </c>
      <c r="K61" s="79">
        <v>44987</v>
      </c>
      <c r="L61" s="86">
        <v>13300000</v>
      </c>
      <c r="M61" s="86">
        <v>13300000</v>
      </c>
      <c r="N61" s="333"/>
      <c r="O61" s="333"/>
    </row>
    <row r="62" spans="1:15" ht="15" x14ac:dyDescent="0.2">
      <c r="A62" s="84">
        <v>185</v>
      </c>
      <c r="B62" s="76" t="s">
        <v>67</v>
      </c>
      <c r="C62" s="77">
        <v>2020680010074</v>
      </c>
      <c r="D62" s="76" t="s">
        <v>57</v>
      </c>
      <c r="E62" s="76" t="s">
        <v>864</v>
      </c>
      <c r="F62" s="78" t="s">
        <v>853</v>
      </c>
      <c r="G62" s="79" t="s">
        <v>117</v>
      </c>
      <c r="H62" s="85" t="s">
        <v>118</v>
      </c>
      <c r="I62" s="76" t="s">
        <v>839</v>
      </c>
      <c r="J62" s="76" t="s">
        <v>63</v>
      </c>
      <c r="K62" s="79">
        <v>44987</v>
      </c>
      <c r="L62" s="86">
        <v>13300000</v>
      </c>
      <c r="M62" s="86">
        <v>13300000</v>
      </c>
      <c r="N62" s="333"/>
      <c r="O62" s="333"/>
    </row>
    <row r="63" spans="1:15" ht="15" x14ac:dyDescent="0.25">
      <c r="A63" s="78">
        <v>183</v>
      </c>
      <c r="B63" s="76" t="s">
        <v>60</v>
      </c>
      <c r="C63" s="77">
        <v>2020680010074</v>
      </c>
      <c r="D63" s="76" t="s">
        <v>57</v>
      </c>
      <c r="E63" s="76" t="s">
        <v>191</v>
      </c>
      <c r="F63" s="78" t="s">
        <v>192</v>
      </c>
      <c r="G63" s="78" t="s">
        <v>117</v>
      </c>
      <c r="H63" s="78" t="s">
        <v>118</v>
      </c>
      <c r="I63" s="76" t="s">
        <v>193</v>
      </c>
      <c r="J63" s="76" t="s">
        <v>63</v>
      </c>
      <c r="K63" s="79">
        <v>44965</v>
      </c>
      <c r="L63" s="81">
        <v>24500000</v>
      </c>
      <c r="M63" s="81">
        <v>24500000</v>
      </c>
      <c r="N63" s="340">
        <v>2683333</v>
      </c>
      <c r="O63" s="76" t="s">
        <v>194</v>
      </c>
    </row>
    <row r="64" spans="1:15" ht="15" x14ac:dyDescent="0.25">
      <c r="A64" s="78">
        <v>184</v>
      </c>
      <c r="B64" s="76" t="s">
        <v>64</v>
      </c>
      <c r="C64" s="77">
        <v>2020680010074</v>
      </c>
      <c r="D64" s="76" t="s">
        <v>57</v>
      </c>
      <c r="E64" s="76" t="s">
        <v>202</v>
      </c>
      <c r="F64" s="78" t="s">
        <v>203</v>
      </c>
      <c r="G64" s="78" t="s">
        <v>117</v>
      </c>
      <c r="H64" s="78" t="s">
        <v>118</v>
      </c>
      <c r="I64" s="76" t="s">
        <v>204</v>
      </c>
      <c r="J64" s="76" t="s">
        <v>63</v>
      </c>
      <c r="K64" s="79">
        <v>44952</v>
      </c>
      <c r="L64" s="81">
        <v>40800000</v>
      </c>
      <c r="M64" s="81">
        <v>40800000</v>
      </c>
      <c r="N64" s="340">
        <f>850000+5100000</f>
        <v>5950000</v>
      </c>
      <c r="O64" s="76" t="s">
        <v>205</v>
      </c>
    </row>
    <row r="65" spans="1:15" ht="15" x14ac:dyDescent="0.25">
      <c r="A65" s="78">
        <v>184</v>
      </c>
      <c r="B65" s="76" t="s">
        <v>64</v>
      </c>
      <c r="C65" s="77">
        <v>2020680010074</v>
      </c>
      <c r="D65" s="76" t="s">
        <v>57</v>
      </c>
      <c r="E65" s="76" t="s">
        <v>206</v>
      </c>
      <c r="F65" s="78" t="s">
        <v>207</v>
      </c>
      <c r="G65" s="78" t="s">
        <v>117</v>
      </c>
      <c r="H65" s="78" t="s">
        <v>118</v>
      </c>
      <c r="I65" s="76" t="s">
        <v>208</v>
      </c>
      <c r="J65" s="76" t="s">
        <v>63</v>
      </c>
      <c r="K65" s="79">
        <v>44952</v>
      </c>
      <c r="L65" s="81">
        <v>40800000</v>
      </c>
      <c r="M65" s="81">
        <v>40800000</v>
      </c>
      <c r="N65" s="340">
        <f>850000+5100000</f>
        <v>5950000</v>
      </c>
      <c r="O65" s="76" t="s">
        <v>209</v>
      </c>
    </row>
    <row r="66" spans="1:15" ht="15" x14ac:dyDescent="0.25">
      <c r="A66" s="78">
        <v>184</v>
      </c>
      <c r="B66" s="76" t="s">
        <v>64</v>
      </c>
      <c r="C66" s="77">
        <v>2020680010074</v>
      </c>
      <c r="D66" s="76" t="s">
        <v>57</v>
      </c>
      <c r="E66" s="76" t="s">
        <v>254</v>
      </c>
      <c r="F66" s="78" t="s">
        <v>255</v>
      </c>
      <c r="G66" s="78" t="s">
        <v>117</v>
      </c>
      <c r="H66" s="78" t="s">
        <v>118</v>
      </c>
      <c r="I66" s="76" t="s">
        <v>256</v>
      </c>
      <c r="J66" s="76" t="s">
        <v>63</v>
      </c>
      <c r="K66" s="79">
        <v>44965</v>
      </c>
      <c r="L66" s="81">
        <v>16000000</v>
      </c>
      <c r="M66" s="81">
        <v>16000000</v>
      </c>
      <c r="N66" s="340">
        <v>3066667</v>
      </c>
      <c r="O66" s="83" t="s">
        <v>257</v>
      </c>
    </row>
    <row r="67" spans="1:15" ht="15" x14ac:dyDescent="0.25">
      <c r="A67" s="78">
        <v>184</v>
      </c>
      <c r="B67" s="76" t="s">
        <v>64</v>
      </c>
      <c r="C67" s="77">
        <v>2020680010074</v>
      </c>
      <c r="D67" s="76" t="s">
        <v>57</v>
      </c>
      <c r="E67" s="76" t="s">
        <v>210</v>
      </c>
      <c r="F67" s="78" t="s">
        <v>211</v>
      </c>
      <c r="G67" s="78" t="s">
        <v>117</v>
      </c>
      <c r="H67" s="78" t="s">
        <v>118</v>
      </c>
      <c r="I67" s="76" t="s">
        <v>212</v>
      </c>
      <c r="J67" s="76" t="s">
        <v>63</v>
      </c>
      <c r="K67" s="79">
        <v>44949</v>
      </c>
      <c r="L67" s="81">
        <v>40000000</v>
      </c>
      <c r="M67" s="81">
        <v>40000000</v>
      </c>
      <c r="N67" s="340">
        <f>1333333+5000000</f>
        <v>6333333</v>
      </c>
      <c r="O67" s="76" t="s">
        <v>213</v>
      </c>
    </row>
    <row r="68" spans="1:15" ht="15" x14ac:dyDescent="0.2">
      <c r="A68" s="84">
        <v>184</v>
      </c>
      <c r="B68" s="76" t="s">
        <v>64</v>
      </c>
      <c r="C68" s="77">
        <v>2020680010074</v>
      </c>
      <c r="D68" s="76" t="s">
        <v>57</v>
      </c>
      <c r="E68" s="76" t="s">
        <v>893</v>
      </c>
      <c r="F68" s="78" t="s">
        <v>885</v>
      </c>
      <c r="G68" s="79" t="s">
        <v>117</v>
      </c>
      <c r="H68" s="85" t="s">
        <v>118</v>
      </c>
      <c r="I68" s="76" t="s">
        <v>877</v>
      </c>
      <c r="J68" s="76" t="s">
        <v>63</v>
      </c>
      <c r="K68" s="79">
        <v>45009</v>
      </c>
      <c r="L68" s="86">
        <v>13300000</v>
      </c>
      <c r="M68" s="86">
        <v>13300000</v>
      </c>
      <c r="N68" s="333"/>
      <c r="O68" s="333"/>
    </row>
    <row r="69" spans="1:15" ht="15" x14ac:dyDescent="0.2">
      <c r="A69" s="84">
        <v>185</v>
      </c>
      <c r="B69" s="76" t="s">
        <v>67</v>
      </c>
      <c r="C69" s="77">
        <v>2020680010074</v>
      </c>
      <c r="D69" s="76" t="s">
        <v>57</v>
      </c>
      <c r="E69" s="76" t="s">
        <v>893</v>
      </c>
      <c r="F69" s="78" t="s">
        <v>885</v>
      </c>
      <c r="G69" s="79" t="s">
        <v>117</v>
      </c>
      <c r="H69" s="85" t="s">
        <v>118</v>
      </c>
      <c r="I69" s="76" t="s">
        <v>877</v>
      </c>
      <c r="J69" s="76" t="s">
        <v>63</v>
      </c>
      <c r="K69" s="79">
        <v>45009</v>
      </c>
      <c r="L69" s="86">
        <v>13300000</v>
      </c>
      <c r="M69" s="86">
        <v>13300000</v>
      </c>
      <c r="N69" s="333"/>
      <c r="O69" s="333"/>
    </row>
    <row r="70" spans="1:15" ht="15" x14ac:dyDescent="0.2">
      <c r="A70" s="84">
        <v>184</v>
      </c>
      <c r="B70" s="76" t="s">
        <v>64</v>
      </c>
      <c r="C70" s="77">
        <v>2020680010074</v>
      </c>
      <c r="D70" s="76" t="s">
        <v>57</v>
      </c>
      <c r="E70" s="76" t="s">
        <v>858</v>
      </c>
      <c r="F70" s="78" t="s">
        <v>847</v>
      </c>
      <c r="G70" s="79" t="s">
        <v>117</v>
      </c>
      <c r="H70" s="85" t="s">
        <v>118</v>
      </c>
      <c r="I70" s="76" t="s">
        <v>833</v>
      </c>
      <c r="J70" s="76" t="s">
        <v>63</v>
      </c>
      <c r="K70" s="79">
        <v>44986</v>
      </c>
      <c r="L70" s="86">
        <v>13300000</v>
      </c>
      <c r="M70" s="86">
        <v>13300000</v>
      </c>
      <c r="N70" s="333"/>
      <c r="O70" s="333"/>
    </row>
    <row r="71" spans="1:15" ht="15" x14ac:dyDescent="0.2">
      <c r="A71" s="84">
        <v>185</v>
      </c>
      <c r="B71" s="76" t="s">
        <v>67</v>
      </c>
      <c r="C71" s="77">
        <v>2020680010074</v>
      </c>
      <c r="D71" s="76" t="s">
        <v>57</v>
      </c>
      <c r="E71" s="76" t="s">
        <v>858</v>
      </c>
      <c r="F71" s="78" t="s">
        <v>847</v>
      </c>
      <c r="G71" s="79" t="s">
        <v>117</v>
      </c>
      <c r="H71" s="85" t="s">
        <v>118</v>
      </c>
      <c r="I71" s="76" t="s">
        <v>833</v>
      </c>
      <c r="J71" s="76" t="s">
        <v>63</v>
      </c>
      <c r="K71" s="79">
        <v>44986</v>
      </c>
      <c r="L71" s="86">
        <v>13300000</v>
      </c>
      <c r="M71" s="86">
        <v>13300000</v>
      </c>
      <c r="N71" s="333"/>
      <c r="O71" s="333"/>
    </row>
    <row r="72" spans="1:15" ht="15" x14ac:dyDescent="0.25">
      <c r="A72" s="78">
        <v>184</v>
      </c>
      <c r="B72" s="76" t="s">
        <v>64</v>
      </c>
      <c r="C72" s="77">
        <v>2020680010074</v>
      </c>
      <c r="D72" s="76" t="s">
        <v>57</v>
      </c>
      <c r="E72" s="76" t="s">
        <v>242</v>
      </c>
      <c r="F72" s="78" t="s">
        <v>243</v>
      </c>
      <c r="G72" s="78" t="s">
        <v>117</v>
      </c>
      <c r="H72" s="78" t="s">
        <v>118</v>
      </c>
      <c r="I72" s="76" t="s">
        <v>244</v>
      </c>
      <c r="J72" s="76" t="s">
        <v>63</v>
      </c>
      <c r="K72" s="79">
        <v>44952</v>
      </c>
      <c r="L72" s="81">
        <v>19293750</v>
      </c>
      <c r="M72" s="81">
        <v>19293750</v>
      </c>
      <c r="N72" s="340">
        <f>459375+2756250</f>
        <v>3215625</v>
      </c>
      <c r="O72" s="76" t="s">
        <v>245</v>
      </c>
    </row>
    <row r="73" spans="1:15" ht="15" x14ac:dyDescent="0.2">
      <c r="A73" s="77">
        <v>184</v>
      </c>
      <c r="B73" s="76" t="s">
        <v>64</v>
      </c>
      <c r="C73" s="77">
        <v>2020680010074</v>
      </c>
      <c r="D73" s="76" t="s">
        <v>57</v>
      </c>
      <c r="E73" s="76" t="s">
        <v>892</v>
      </c>
      <c r="F73" s="78" t="s">
        <v>884</v>
      </c>
      <c r="G73" s="79" t="s">
        <v>117</v>
      </c>
      <c r="H73" s="85" t="s">
        <v>118</v>
      </c>
      <c r="I73" s="76" t="s">
        <v>876</v>
      </c>
      <c r="J73" s="76" t="s">
        <v>63</v>
      </c>
      <c r="K73" s="79">
        <v>45008</v>
      </c>
      <c r="L73" s="86">
        <v>16800000</v>
      </c>
      <c r="M73" s="86">
        <v>16800000</v>
      </c>
      <c r="N73" s="333"/>
      <c r="O73" s="76"/>
    </row>
    <row r="74" spans="1:15" ht="15" x14ac:dyDescent="0.25">
      <c r="A74" s="78">
        <v>184</v>
      </c>
      <c r="B74" s="76" t="s">
        <v>64</v>
      </c>
      <c r="C74" s="77">
        <v>2020680010074</v>
      </c>
      <c r="D74" s="76" t="s">
        <v>57</v>
      </c>
      <c r="E74" s="76" t="s">
        <v>238</v>
      </c>
      <c r="F74" s="78" t="s">
        <v>239</v>
      </c>
      <c r="G74" s="78" t="s">
        <v>117</v>
      </c>
      <c r="H74" s="78" t="s">
        <v>118</v>
      </c>
      <c r="I74" s="76" t="s">
        <v>240</v>
      </c>
      <c r="J74" s="76" t="s">
        <v>63</v>
      </c>
      <c r="K74" s="79">
        <v>44952</v>
      </c>
      <c r="L74" s="81">
        <v>20000000</v>
      </c>
      <c r="M74" s="81">
        <v>20000000</v>
      </c>
      <c r="N74" s="340">
        <f>533333+4000000</f>
        <v>4533333</v>
      </c>
      <c r="O74" s="76" t="s">
        <v>241</v>
      </c>
    </row>
    <row r="75" spans="1:15" ht="15" x14ac:dyDescent="0.25">
      <c r="A75" s="78">
        <v>184</v>
      </c>
      <c r="B75" s="76" t="s">
        <v>64</v>
      </c>
      <c r="C75" s="77">
        <v>2020680010074</v>
      </c>
      <c r="D75" s="76" t="s">
        <v>57</v>
      </c>
      <c r="E75" s="76" t="s">
        <v>226</v>
      </c>
      <c r="F75" s="78" t="s">
        <v>227</v>
      </c>
      <c r="G75" s="78" t="s">
        <v>117</v>
      </c>
      <c r="H75" s="78" t="s">
        <v>118</v>
      </c>
      <c r="I75" s="76" t="s">
        <v>228</v>
      </c>
      <c r="J75" s="76" t="s">
        <v>63</v>
      </c>
      <c r="K75" s="79">
        <v>44952</v>
      </c>
      <c r="L75" s="81">
        <v>26600000</v>
      </c>
      <c r="M75" s="81">
        <v>26600000</v>
      </c>
      <c r="N75" s="340">
        <f>633333+3800000</f>
        <v>4433333</v>
      </c>
      <c r="O75" s="76" t="s">
        <v>229</v>
      </c>
    </row>
    <row r="76" spans="1:15" ht="15" x14ac:dyDescent="0.25">
      <c r="A76" s="78">
        <v>184</v>
      </c>
      <c r="B76" s="76" t="s">
        <v>64</v>
      </c>
      <c r="C76" s="77">
        <v>2020680010074</v>
      </c>
      <c r="D76" s="76" t="s">
        <v>57</v>
      </c>
      <c r="E76" s="76" t="s">
        <v>277</v>
      </c>
      <c r="F76" s="78" t="s">
        <v>278</v>
      </c>
      <c r="G76" s="78" t="s">
        <v>117</v>
      </c>
      <c r="H76" s="78" t="s">
        <v>118</v>
      </c>
      <c r="I76" s="76" t="s">
        <v>279</v>
      </c>
      <c r="J76" s="76" t="s">
        <v>63</v>
      </c>
      <c r="K76" s="79">
        <v>44953</v>
      </c>
      <c r="L76" s="81">
        <v>11025000</v>
      </c>
      <c r="M76" s="81">
        <v>11025000</v>
      </c>
      <c r="N76" s="340">
        <f>367500+2756250</f>
        <v>3123750</v>
      </c>
      <c r="O76" s="76" t="s">
        <v>280</v>
      </c>
    </row>
    <row r="77" spans="1:15" ht="15" x14ac:dyDescent="0.25">
      <c r="A77" s="78">
        <v>184</v>
      </c>
      <c r="B77" s="76" t="s">
        <v>64</v>
      </c>
      <c r="C77" s="77">
        <v>2020680010074</v>
      </c>
      <c r="D77" s="76" t="s">
        <v>57</v>
      </c>
      <c r="E77" s="76" t="s">
        <v>907</v>
      </c>
      <c r="F77" s="78" t="s">
        <v>907</v>
      </c>
      <c r="G77" s="78" t="s">
        <v>117</v>
      </c>
      <c r="H77" s="78" t="s">
        <v>118</v>
      </c>
      <c r="I77" s="76" t="s">
        <v>908</v>
      </c>
      <c r="J77" s="76" t="s">
        <v>63</v>
      </c>
      <c r="K77" s="79"/>
      <c r="L77" s="81">
        <v>19425000</v>
      </c>
      <c r="M77" s="81"/>
      <c r="N77" s="81"/>
      <c r="O77" s="76"/>
    </row>
    <row r="78" spans="1:15" ht="15" x14ac:dyDescent="0.25">
      <c r="A78" s="78">
        <v>185</v>
      </c>
      <c r="B78" s="76" t="s">
        <v>67</v>
      </c>
      <c r="C78" s="77">
        <v>2020680010074</v>
      </c>
      <c r="D78" s="76" t="s">
        <v>57</v>
      </c>
      <c r="E78" s="76" t="s">
        <v>907</v>
      </c>
      <c r="F78" s="78" t="s">
        <v>907</v>
      </c>
      <c r="G78" s="78" t="s">
        <v>117</v>
      </c>
      <c r="H78" s="78" t="s">
        <v>118</v>
      </c>
      <c r="I78" s="76" t="s">
        <v>908</v>
      </c>
      <c r="J78" s="76" t="s">
        <v>63</v>
      </c>
      <c r="K78" s="79"/>
      <c r="L78" s="81">
        <v>19425000</v>
      </c>
      <c r="M78" s="81"/>
      <c r="N78" s="81"/>
      <c r="O78" s="76"/>
    </row>
    <row r="79" spans="1:15" ht="15" x14ac:dyDescent="0.25">
      <c r="A79" s="78">
        <v>186</v>
      </c>
      <c r="B79" s="76" t="s">
        <v>72</v>
      </c>
      <c r="C79" s="77">
        <v>2022680010037</v>
      </c>
      <c r="D79" s="76" t="s">
        <v>77</v>
      </c>
      <c r="E79" s="76" t="s">
        <v>294</v>
      </c>
      <c r="F79" s="78" t="s">
        <v>295</v>
      </c>
      <c r="G79" s="78" t="s">
        <v>117</v>
      </c>
      <c r="H79" s="78" t="s">
        <v>118</v>
      </c>
      <c r="I79" s="76" t="s">
        <v>296</v>
      </c>
      <c r="J79" s="76" t="s">
        <v>284</v>
      </c>
      <c r="K79" s="79">
        <v>44959</v>
      </c>
      <c r="L79" s="81">
        <v>10500000</v>
      </c>
      <c r="M79" s="81">
        <v>10500000</v>
      </c>
      <c r="N79" s="340">
        <v>1450000</v>
      </c>
      <c r="O79" s="83" t="s">
        <v>297</v>
      </c>
    </row>
    <row r="80" spans="1:15" ht="15" x14ac:dyDescent="0.25">
      <c r="A80" s="78">
        <v>187</v>
      </c>
      <c r="B80" s="76" t="s">
        <v>79</v>
      </c>
      <c r="C80" s="77">
        <v>2022680010037</v>
      </c>
      <c r="D80" s="76" t="s">
        <v>77</v>
      </c>
      <c r="E80" s="76" t="s">
        <v>306</v>
      </c>
      <c r="F80" s="78" t="s">
        <v>295</v>
      </c>
      <c r="G80" s="78" t="s">
        <v>117</v>
      </c>
      <c r="H80" s="78" t="s">
        <v>118</v>
      </c>
      <c r="I80" s="76" t="s">
        <v>296</v>
      </c>
      <c r="J80" s="76" t="s">
        <v>284</v>
      </c>
      <c r="K80" s="79">
        <v>44959</v>
      </c>
      <c r="L80" s="81">
        <v>10500000</v>
      </c>
      <c r="M80" s="81">
        <v>10500000</v>
      </c>
      <c r="N80" s="340">
        <v>1450000</v>
      </c>
      <c r="O80" s="83" t="s">
        <v>297</v>
      </c>
    </row>
    <row r="81" spans="1:15" ht="15" x14ac:dyDescent="0.25">
      <c r="A81" s="78">
        <v>186</v>
      </c>
      <c r="B81" s="76" t="s">
        <v>72</v>
      </c>
      <c r="C81" s="77">
        <v>2022680010037</v>
      </c>
      <c r="D81" s="76" t="s">
        <v>77</v>
      </c>
      <c r="E81" s="76" t="s">
        <v>290</v>
      </c>
      <c r="F81" s="78" t="s">
        <v>291</v>
      </c>
      <c r="G81" s="78" t="s">
        <v>117</v>
      </c>
      <c r="H81" s="78" t="s">
        <v>118</v>
      </c>
      <c r="I81" s="76" t="s">
        <v>292</v>
      </c>
      <c r="J81" s="76" t="s">
        <v>284</v>
      </c>
      <c r="K81" s="79">
        <v>44957</v>
      </c>
      <c r="L81" s="81">
        <v>20400000</v>
      </c>
      <c r="M81" s="81">
        <v>20400000</v>
      </c>
      <c r="N81" s="340">
        <v>2550000</v>
      </c>
      <c r="O81" s="76" t="s">
        <v>293</v>
      </c>
    </row>
    <row r="82" spans="1:15" ht="15" x14ac:dyDescent="0.25">
      <c r="A82" s="78">
        <v>187</v>
      </c>
      <c r="B82" s="76" t="s">
        <v>79</v>
      </c>
      <c r="C82" s="77">
        <v>2022680010037</v>
      </c>
      <c r="D82" s="76" t="s">
        <v>77</v>
      </c>
      <c r="E82" s="76" t="s">
        <v>290</v>
      </c>
      <c r="F82" s="78" t="s">
        <v>291</v>
      </c>
      <c r="G82" s="78" t="s">
        <v>117</v>
      </c>
      <c r="H82" s="78" t="s">
        <v>118</v>
      </c>
      <c r="I82" s="76" t="s">
        <v>292</v>
      </c>
      <c r="J82" s="76" t="s">
        <v>284</v>
      </c>
      <c r="K82" s="79">
        <v>44957</v>
      </c>
      <c r="L82" s="81">
        <v>20400000</v>
      </c>
      <c r="M82" s="81">
        <v>20400000</v>
      </c>
      <c r="N82" s="340">
        <v>2550000</v>
      </c>
      <c r="O82" s="76" t="s">
        <v>293</v>
      </c>
    </row>
    <row r="83" spans="1:15" ht="15" x14ac:dyDescent="0.25">
      <c r="A83" s="78">
        <v>186</v>
      </c>
      <c r="B83" s="76" t="s">
        <v>72</v>
      </c>
      <c r="C83" s="77">
        <v>2022680010037</v>
      </c>
      <c r="D83" s="76" t="s">
        <v>77</v>
      </c>
      <c r="E83" s="76" t="s">
        <v>298</v>
      </c>
      <c r="F83" s="78" t="s">
        <v>299</v>
      </c>
      <c r="G83" s="78" t="s">
        <v>117</v>
      </c>
      <c r="H83" s="78" t="s">
        <v>118</v>
      </c>
      <c r="I83" s="76" t="s">
        <v>300</v>
      </c>
      <c r="J83" s="76" t="s">
        <v>284</v>
      </c>
      <c r="K83" s="79">
        <v>44978</v>
      </c>
      <c r="L83" s="81">
        <v>9800000</v>
      </c>
      <c r="M83" s="81">
        <v>9800000</v>
      </c>
      <c r="N83" s="340">
        <v>466666.5</v>
      </c>
      <c r="O83" s="83" t="s">
        <v>301</v>
      </c>
    </row>
    <row r="84" spans="1:15" ht="15" x14ac:dyDescent="0.25">
      <c r="A84" s="78">
        <v>187</v>
      </c>
      <c r="B84" s="76" t="s">
        <v>79</v>
      </c>
      <c r="C84" s="77">
        <v>2022680010037</v>
      </c>
      <c r="D84" s="76" t="s">
        <v>77</v>
      </c>
      <c r="E84" s="76" t="s">
        <v>298</v>
      </c>
      <c r="F84" s="78" t="s">
        <v>299</v>
      </c>
      <c r="G84" s="78" t="s">
        <v>117</v>
      </c>
      <c r="H84" s="78" t="s">
        <v>118</v>
      </c>
      <c r="I84" s="76" t="s">
        <v>300</v>
      </c>
      <c r="J84" s="76" t="s">
        <v>284</v>
      </c>
      <c r="K84" s="79">
        <v>44978</v>
      </c>
      <c r="L84" s="81">
        <v>9800000</v>
      </c>
      <c r="M84" s="81">
        <v>9800000</v>
      </c>
      <c r="N84" s="340">
        <v>466666.5</v>
      </c>
      <c r="O84" s="83" t="s">
        <v>301</v>
      </c>
    </row>
    <row r="85" spans="1:15" ht="15" x14ac:dyDescent="0.2">
      <c r="A85" s="78">
        <v>186</v>
      </c>
      <c r="B85" s="76" t="s">
        <v>72</v>
      </c>
      <c r="C85" s="77">
        <v>2022680010037</v>
      </c>
      <c r="D85" s="76" t="s">
        <v>77</v>
      </c>
      <c r="E85" s="76" t="s">
        <v>870</v>
      </c>
      <c r="F85" s="78" t="s">
        <v>899</v>
      </c>
      <c r="G85" s="79" t="s">
        <v>117</v>
      </c>
      <c r="H85" s="85" t="s">
        <v>118</v>
      </c>
      <c r="I85" s="76" t="s">
        <v>845</v>
      </c>
      <c r="J85" s="76" t="s">
        <v>284</v>
      </c>
      <c r="K85" s="79">
        <v>44999</v>
      </c>
      <c r="L85" s="86">
        <v>12862500</v>
      </c>
      <c r="M85" s="86">
        <v>12862500</v>
      </c>
      <c r="N85" s="333"/>
      <c r="O85" s="76"/>
    </row>
    <row r="86" spans="1:15" ht="15" x14ac:dyDescent="0.2">
      <c r="A86" s="78">
        <v>187</v>
      </c>
      <c r="B86" s="76" t="s">
        <v>79</v>
      </c>
      <c r="C86" s="77">
        <v>2022680010037</v>
      </c>
      <c r="D86" s="76" t="s">
        <v>77</v>
      </c>
      <c r="E86" s="76" t="s">
        <v>870</v>
      </c>
      <c r="F86" s="78" t="s">
        <v>899</v>
      </c>
      <c r="G86" s="79" t="s">
        <v>117</v>
      </c>
      <c r="H86" s="85" t="s">
        <v>118</v>
      </c>
      <c r="I86" s="76" t="s">
        <v>845</v>
      </c>
      <c r="J86" s="76" t="s">
        <v>284</v>
      </c>
      <c r="K86" s="79">
        <v>44999</v>
      </c>
      <c r="L86" s="86">
        <v>12862500</v>
      </c>
      <c r="M86" s="86">
        <v>12862500</v>
      </c>
      <c r="N86" s="333"/>
      <c r="O86" s="76"/>
    </row>
    <row r="87" spans="1:15" ht="15" x14ac:dyDescent="0.2">
      <c r="A87" s="78">
        <v>186</v>
      </c>
      <c r="B87" s="76" t="s">
        <v>72</v>
      </c>
      <c r="C87" s="77">
        <v>2022680010037</v>
      </c>
      <c r="D87" s="76" t="s">
        <v>77</v>
      </c>
      <c r="E87" s="76" t="s">
        <v>888</v>
      </c>
      <c r="F87" s="78" t="s">
        <v>900</v>
      </c>
      <c r="G87" s="79" t="s">
        <v>117</v>
      </c>
      <c r="H87" s="85" t="s">
        <v>118</v>
      </c>
      <c r="I87" s="76" t="s">
        <v>872</v>
      </c>
      <c r="J87" s="76" t="s">
        <v>284</v>
      </c>
      <c r="K87" s="79">
        <v>45008</v>
      </c>
      <c r="L87" s="86">
        <v>4200000</v>
      </c>
      <c r="M87" s="86">
        <v>4200000</v>
      </c>
      <c r="N87" s="333"/>
      <c r="O87" s="76"/>
    </row>
    <row r="88" spans="1:15" ht="15" x14ac:dyDescent="0.2">
      <c r="A88" s="78">
        <v>187</v>
      </c>
      <c r="B88" s="76" t="s">
        <v>79</v>
      </c>
      <c r="C88" s="77">
        <v>2022680010037</v>
      </c>
      <c r="D88" s="76" t="s">
        <v>77</v>
      </c>
      <c r="E88" s="76" t="s">
        <v>888</v>
      </c>
      <c r="F88" s="78" t="s">
        <v>900</v>
      </c>
      <c r="G88" s="79" t="s">
        <v>117</v>
      </c>
      <c r="H88" s="85" t="s">
        <v>118</v>
      </c>
      <c r="I88" s="76" t="s">
        <v>872</v>
      </c>
      <c r="J88" s="76" t="s">
        <v>284</v>
      </c>
      <c r="K88" s="79">
        <v>45008</v>
      </c>
      <c r="L88" s="86">
        <v>4200000</v>
      </c>
      <c r="M88" s="86">
        <v>4200000</v>
      </c>
      <c r="N88" s="333"/>
      <c r="O88" s="76"/>
    </row>
    <row r="89" spans="1:15" ht="15" x14ac:dyDescent="0.25">
      <c r="A89" s="78">
        <v>186</v>
      </c>
      <c r="B89" s="76" t="s">
        <v>72</v>
      </c>
      <c r="C89" s="77">
        <v>2022680010037</v>
      </c>
      <c r="D89" s="76" t="s">
        <v>77</v>
      </c>
      <c r="E89" s="76" t="s">
        <v>302</v>
      </c>
      <c r="F89" s="78" t="s">
        <v>303</v>
      </c>
      <c r="G89" s="78" t="s">
        <v>117</v>
      </c>
      <c r="H89" s="78" t="s">
        <v>118</v>
      </c>
      <c r="I89" s="76" t="s">
        <v>304</v>
      </c>
      <c r="J89" s="76" t="s">
        <v>284</v>
      </c>
      <c r="K89" s="79">
        <v>44978</v>
      </c>
      <c r="L89" s="81">
        <v>15200000</v>
      </c>
      <c r="M89" s="81">
        <v>15200000</v>
      </c>
      <c r="N89" s="340">
        <v>633333</v>
      </c>
      <c r="O89" s="83" t="s">
        <v>305</v>
      </c>
    </row>
    <row r="90" spans="1:15" ht="15" x14ac:dyDescent="0.25">
      <c r="A90" s="78">
        <v>187</v>
      </c>
      <c r="B90" s="76" t="s">
        <v>79</v>
      </c>
      <c r="C90" s="77">
        <v>2022680010037</v>
      </c>
      <c r="D90" s="76" t="s">
        <v>77</v>
      </c>
      <c r="E90" s="76" t="s">
        <v>302</v>
      </c>
      <c r="F90" s="78" t="s">
        <v>303</v>
      </c>
      <c r="G90" s="78" t="s">
        <v>117</v>
      </c>
      <c r="H90" s="78" t="s">
        <v>118</v>
      </c>
      <c r="I90" s="76" t="s">
        <v>304</v>
      </c>
      <c r="J90" s="76" t="s">
        <v>284</v>
      </c>
      <c r="K90" s="79">
        <v>44978</v>
      </c>
      <c r="L90" s="81">
        <v>15200000</v>
      </c>
      <c r="M90" s="81">
        <v>15200000</v>
      </c>
      <c r="N90" s="340">
        <v>633333</v>
      </c>
      <c r="O90" s="83" t="s">
        <v>305</v>
      </c>
    </row>
    <row r="91" spans="1:15" ht="15" x14ac:dyDescent="0.25">
      <c r="A91" s="78">
        <v>186</v>
      </c>
      <c r="B91" s="76" t="s">
        <v>72</v>
      </c>
      <c r="C91" s="77">
        <v>2022680010037</v>
      </c>
      <c r="D91" s="76" t="s">
        <v>77</v>
      </c>
      <c r="E91" s="76" t="s">
        <v>281</v>
      </c>
      <c r="F91" s="78" t="s">
        <v>282</v>
      </c>
      <c r="G91" s="78" t="s">
        <v>117</v>
      </c>
      <c r="H91" s="78" t="s">
        <v>118</v>
      </c>
      <c r="I91" s="76" t="s">
        <v>283</v>
      </c>
      <c r="J91" s="76" t="s">
        <v>284</v>
      </c>
      <c r="K91" s="79">
        <v>44957</v>
      </c>
      <c r="L91" s="81">
        <v>14000000</v>
      </c>
      <c r="M91" s="81">
        <v>14000000</v>
      </c>
      <c r="N91" s="340">
        <v>1750000</v>
      </c>
      <c r="O91" s="76" t="s">
        <v>285</v>
      </c>
    </row>
    <row r="92" spans="1:15" ht="15" x14ac:dyDescent="0.25">
      <c r="A92" s="78">
        <v>187</v>
      </c>
      <c r="B92" s="76" t="s">
        <v>79</v>
      </c>
      <c r="C92" s="77">
        <v>2022680010037</v>
      </c>
      <c r="D92" s="76" t="s">
        <v>77</v>
      </c>
      <c r="E92" s="76" t="s">
        <v>281</v>
      </c>
      <c r="F92" s="78" t="s">
        <v>282</v>
      </c>
      <c r="G92" s="78" t="s">
        <v>117</v>
      </c>
      <c r="H92" s="78" t="s">
        <v>118</v>
      </c>
      <c r="I92" s="76" t="s">
        <v>283</v>
      </c>
      <c r="J92" s="76" t="s">
        <v>284</v>
      </c>
      <c r="K92" s="79">
        <v>44957</v>
      </c>
      <c r="L92" s="81">
        <v>14000000</v>
      </c>
      <c r="M92" s="81">
        <v>14000000</v>
      </c>
      <c r="N92" s="340">
        <v>1750000</v>
      </c>
      <c r="O92" s="76" t="s">
        <v>285</v>
      </c>
    </row>
    <row r="93" spans="1:15" ht="15" x14ac:dyDescent="0.2">
      <c r="A93" s="78">
        <v>186</v>
      </c>
      <c r="B93" s="76" t="s">
        <v>72</v>
      </c>
      <c r="C93" s="77">
        <v>2022680010037</v>
      </c>
      <c r="D93" s="76" t="s">
        <v>77</v>
      </c>
      <c r="E93" s="76" t="s">
        <v>867</v>
      </c>
      <c r="F93" s="78" t="s">
        <v>898</v>
      </c>
      <c r="G93" s="79" t="s">
        <v>117</v>
      </c>
      <c r="H93" s="85" t="s">
        <v>118</v>
      </c>
      <c r="I93" s="76" t="s">
        <v>842</v>
      </c>
      <c r="J93" s="76" t="s">
        <v>284</v>
      </c>
      <c r="K93" s="79">
        <v>44992</v>
      </c>
      <c r="L93" s="86">
        <v>8400000</v>
      </c>
      <c r="M93" s="86">
        <v>8400000</v>
      </c>
      <c r="N93" s="333"/>
      <c r="O93" s="76"/>
    </row>
    <row r="94" spans="1:15" ht="15" x14ac:dyDescent="0.2">
      <c r="A94" s="78">
        <v>187</v>
      </c>
      <c r="B94" s="76" t="s">
        <v>79</v>
      </c>
      <c r="C94" s="77">
        <v>2022680010037</v>
      </c>
      <c r="D94" s="76" t="s">
        <v>77</v>
      </c>
      <c r="E94" s="76" t="s">
        <v>867</v>
      </c>
      <c r="F94" s="78" t="s">
        <v>898</v>
      </c>
      <c r="G94" s="79" t="s">
        <v>117</v>
      </c>
      <c r="H94" s="85" t="s">
        <v>118</v>
      </c>
      <c r="I94" s="76" t="s">
        <v>842</v>
      </c>
      <c r="J94" s="76" t="s">
        <v>284</v>
      </c>
      <c r="K94" s="79">
        <v>44992</v>
      </c>
      <c r="L94" s="86">
        <v>8400000</v>
      </c>
      <c r="M94" s="86">
        <v>8400000</v>
      </c>
      <c r="N94" s="333"/>
      <c r="O94" s="76"/>
    </row>
    <row r="95" spans="1:15" ht="15" x14ac:dyDescent="0.25">
      <c r="A95" s="78">
        <v>186</v>
      </c>
      <c r="B95" s="76" t="s">
        <v>72</v>
      </c>
      <c r="C95" s="77">
        <v>2022680010037</v>
      </c>
      <c r="D95" s="76" t="s">
        <v>77</v>
      </c>
      <c r="E95" s="76" t="s">
        <v>286</v>
      </c>
      <c r="F95" s="78" t="s">
        <v>287</v>
      </c>
      <c r="G95" s="78" t="s">
        <v>117</v>
      </c>
      <c r="H95" s="78" t="s">
        <v>118</v>
      </c>
      <c r="I95" s="76" t="s">
        <v>288</v>
      </c>
      <c r="J95" s="76" t="s">
        <v>284</v>
      </c>
      <c r="K95" s="79">
        <v>44957</v>
      </c>
      <c r="L95" s="81">
        <v>16000000</v>
      </c>
      <c r="M95" s="81">
        <v>16000000</v>
      </c>
      <c r="N95" s="340">
        <v>2000000</v>
      </c>
      <c r="O95" s="76" t="s">
        <v>289</v>
      </c>
    </row>
    <row r="96" spans="1:15" ht="15" x14ac:dyDescent="0.25">
      <c r="A96" s="78">
        <v>187</v>
      </c>
      <c r="B96" s="76" t="s">
        <v>79</v>
      </c>
      <c r="C96" s="77">
        <v>2022680010037</v>
      </c>
      <c r="D96" s="76" t="s">
        <v>77</v>
      </c>
      <c r="E96" s="76" t="s">
        <v>286</v>
      </c>
      <c r="F96" s="78" t="s">
        <v>287</v>
      </c>
      <c r="G96" s="78" t="s">
        <v>117</v>
      </c>
      <c r="H96" s="78" t="s">
        <v>118</v>
      </c>
      <c r="I96" s="76" t="s">
        <v>288</v>
      </c>
      <c r="J96" s="76" t="s">
        <v>284</v>
      </c>
      <c r="K96" s="79">
        <v>44957</v>
      </c>
      <c r="L96" s="81">
        <v>16000000</v>
      </c>
      <c r="M96" s="81">
        <v>16000000</v>
      </c>
      <c r="N96" s="340">
        <v>2000000</v>
      </c>
      <c r="O96" s="76" t="s">
        <v>289</v>
      </c>
    </row>
    <row r="97" spans="1:15" ht="15" x14ac:dyDescent="0.25">
      <c r="A97" s="78">
        <v>188</v>
      </c>
      <c r="B97" s="76" t="s">
        <v>83</v>
      </c>
      <c r="C97" s="77">
        <v>2022680010086</v>
      </c>
      <c r="D97" s="76" t="s">
        <v>85</v>
      </c>
      <c r="E97" s="76" t="s">
        <v>336</v>
      </c>
      <c r="F97" s="78" t="s">
        <v>337</v>
      </c>
      <c r="G97" s="78" t="s">
        <v>117</v>
      </c>
      <c r="H97" s="78" t="s">
        <v>118</v>
      </c>
      <c r="I97" s="76" t="s">
        <v>338</v>
      </c>
      <c r="J97" s="76" t="s">
        <v>310</v>
      </c>
      <c r="K97" s="79">
        <v>44950</v>
      </c>
      <c r="L97" s="81">
        <v>5145000</v>
      </c>
      <c r="M97" s="81">
        <v>5145000</v>
      </c>
      <c r="N97" s="340">
        <f t="shared" ref="N97:N102" si="0">300125+1286250</f>
        <v>1586375</v>
      </c>
      <c r="O97" s="76" t="s">
        <v>339</v>
      </c>
    </row>
    <row r="98" spans="1:15" ht="15" x14ac:dyDescent="0.25">
      <c r="A98" s="78">
        <v>189</v>
      </c>
      <c r="B98" s="76" t="s">
        <v>83</v>
      </c>
      <c r="C98" s="77">
        <v>2022680010086</v>
      </c>
      <c r="D98" s="76" t="s">
        <v>85</v>
      </c>
      <c r="E98" s="76" t="s">
        <v>336</v>
      </c>
      <c r="F98" s="78" t="s">
        <v>337</v>
      </c>
      <c r="G98" s="78" t="s">
        <v>117</v>
      </c>
      <c r="H98" s="78" t="s">
        <v>118</v>
      </c>
      <c r="I98" s="76" t="s">
        <v>338</v>
      </c>
      <c r="J98" s="76" t="s">
        <v>310</v>
      </c>
      <c r="K98" s="79">
        <v>44950</v>
      </c>
      <c r="L98" s="81">
        <v>5145000</v>
      </c>
      <c r="M98" s="81">
        <v>5145000</v>
      </c>
      <c r="N98" s="340">
        <f t="shared" si="0"/>
        <v>1586375</v>
      </c>
      <c r="O98" s="76" t="s">
        <v>339</v>
      </c>
    </row>
    <row r="99" spans="1:15" ht="15" x14ac:dyDescent="0.25">
      <c r="A99" s="78">
        <v>190</v>
      </c>
      <c r="B99" s="76" t="s">
        <v>83</v>
      </c>
      <c r="C99" s="77">
        <v>2022680010086</v>
      </c>
      <c r="D99" s="76" t="s">
        <v>85</v>
      </c>
      <c r="E99" s="76" t="s">
        <v>336</v>
      </c>
      <c r="F99" s="78" t="s">
        <v>337</v>
      </c>
      <c r="G99" s="78" t="s">
        <v>117</v>
      </c>
      <c r="H99" s="78" t="s">
        <v>118</v>
      </c>
      <c r="I99" s="76" t="s">
        <v>338</v>
      </c>
      <c r="J99" s="76" t="s">
        <v>310</v>
      </c>
      <c r="K99" s="79">
        <v>44950</v>
      </c>
      <c r="L99" s="81">
        <v>5145000</v>
      </c>
      <c r="M99" s="81">
        <v>5145000</v>
      </c>
      <c r="N99" s="340">
        <f t="shared" si="0"/>
        <v>1586375</v>
      </c>
      <c r="O99" s="76" t="s">
        <v>339</v>
      </c>
    </row>
    <row r="100" spans="1:15" ht="15" x14ac:dyDescent="0.25">
      <c r="A100" s="78">
        <v>188</v>
      </c>
      <c r="B100" s="76" t="s">
        <v>83</v>
      </c>
      <c r="C100" s="77">
        <v>2022680010086</v>
      </c>
      <c r="D100" s="76" t="s">
        <v>85</v>
      </c>
      <c r="E100" s="76" t="s">
        <v>340</v>
      </c>
      <c r="F100" s="78" t="s">
        <v>341</v>
      </c>
      <c r="G100" s="78" t="s">
        <v>117</v>
      </c>
      <c r="H100" s="78" t="s">
        <v>118</v>
      </c>
      <c r="I100" s="76" t="s">
        <v>342</v>
      </c>
      <c r="J100" s="76" t="s">
        <v>310</v>
      </c>
      <c r="K100" s="79">
        <v>44950</v>
      </c>
      <c r="L100" s="81">
        <v>5145000</v>
      </c>
      <c r="M100" s="81">
        <v>5145000</v>
      </c>
      <c r="N100" s="340">
        <f t="shared" si="0"/>
        <v>1586375</v>
      </c>
      <c r="O100" s="76" t="s">
        <v>343</v>
      </c>
    </row>
    <row r="101" spans="1:15" ht="15" x14ac:dyDescent="0.25">
      <c r="A101" s="78">
        <v>189</v>
      </c>
      <c r="B101" s="76" t="s">
        <v>83</v>
      </c>
      <c r="C101" s="77">
        <v>2022680010086</v>
      </c>
      <c r="D101" s="76" t="s">
        <v>85</v>
      </c>
      <c r="E101" s="76" t="s">
        <v>340</v>
      </c>
      <c r="F101" s="78" t="s">
        <v>341</v>
      </c>
      <c r="G101" s="78" t="s">
        <v>117</v>
      </c>
      <c r="H101" s="78" t="s">
        <v>118</v>
      </c>
      <c r="I101" s="76" t="s">
        <v>342</v>
      </c>
      <c r="J101" s="76" t="s">
        <v>310</v>
      </c>
      <c r="K101" s="79">
        <v>44950</v>
      </c>
      <c r="L101" s="81">
        <v>5145000</v>
      </c>
      <c r="M101" s="81">
        <v>5145000</v>
      </c>
      <c r="N101" s="340">
        <f t="shared" si="0"/>
        <v>1586375</v>
      </c>
      <c r="O101" s="76" t="s">
        <v>343</v>
      </c>
    </row>
    <row r="102" spans="1:15" ht="15" x14ac:dyDescent="0.25">
      <c r="A102" s="78">
        <v>190</v>
      </c>
      <c r="B102" s="76" t="s">
        <v>83</v>
      </c>
      <c r="C102" s="77">
        <v>2022680010086</v>
      </c>
      <c r="D102" s="76" t="s">
        <v>85</v>
      </c>
      <c r="E102" s="76" t="s">
        <v>340</v>
      </c>
      <c r="F102" s="78" t="s">
        <v>341</v>
      </c>
      <c r="G102" s="78" t="s">
        <v>117</v>
      </c>
      <c r="H102" s="78" t="s">
        <v>118</v>
      </c>
      <c r="I102" s="76" t="s">
        <v>342</v>
      </c>
      <c r="J102" s="76" t="s">
        <v>310</v>
      </c>
      <c r="K102" s="79">
        <v>44950</v>
      </c>
      <c r="L102" s="81">
        <v>5145000</v>
      </c>
      <c r="M102" s="81">
        <v>5145000</v>
      </c>
      <c r="N102" s="340">
        <f t="shared" si="0"/>
        <v>1586375</v>
      </c>
      <c r="O102" s="76" t="s">
        <v>343</v>
      </c>
    </row>
    <row r="103" spans="1:15" ht="15" x14ac:dyDescent="0.25">
      <c r="A103" s="78">
        <v>188</v>
      </c>
      <c r="B103" s="76" t="s">
        <v>83</v>
      </c>
      <c r="C103" s="77">
        <v>2022680010086</v>
      </c>
      <c r="D103" s="76" t="s">
        <v>85</v>
      </c>
      <c r="E103" s="76" t="s">
        <v>312</v>
      </c>
      <c r="F103" s="78" t="s">
        <v>313</v>
      </c>
      <c r="G103" s="78" t="s">
        <v>117</v>
      </c>
      <c r="H103" s="78" t="s">
        <v>118</v>
      </c>
      <c r="I103" s="76" t="s">
        <v>314</v>
      </c>
      <c r="J103" s="76" t="s">
        <v>310</v>
      </c>
      <c r="K103" s="79">
        <v>44946</v>
      </c>
      <c r="L103" s="81">
        <v>2940000</v>
      </c>
      <c r="M103" s="81">
        <v>2940000</v>
      </c>
      <c r="N103" s="340">
        <f>269500+735000</f>
        <v>1004500</v>
      </c>
      <c r="O103" s="76" t="s">
        <v>315</v>
      </c>
    </row>
    <row r="104" spans="1:15" ht="15" x14ac:dyDescent="0.25">
      <c r="A104" s="78">
        <v>189</v>
      </c>
      <c r="B104" s="76" t="s">
        <v>83</v>
      </c>
      <c r="C104" s="77">
        <v>2022680010086</v>
      </c>
      <c r="D104" s="76" t="s">
        <v>85</v>
      </c>
      <c r="E104" s="76" t="s">
        <v>312</v>
      </c>
      <c r="F104" s="78" t="s">
        <v>313</v>
      </c>
      <c r="G104" s="78" t="s">
        <v>117</v>
      </c>
      <c r="H104" s="78" t="s">
        <v>118</v>
      </c>
      <c r="I104" s="76" t="s">
        <v>314</v>
      </c>
      <c r="J104" s="76" t="s">
        <v>310</v>
      </c>
      <c r="K104" s="79">
        <v>44946</v>
      </c>
      <c r="L104" s="81">
        <v>2940000</v>
      </c>
      <c r="M104" s="81">
        <v>2940000</v>
      </c>
      <c r="N104" s="340">
        <f>269500+735000</f>
        <v>1004500</v>
      </c>
      <c r="O104" s="76" t="s">
        <v>315</v>
      </c>
    </row>
    <row r="105" spans="1:15" ht="15" x14ac:dyDescent="0.25">
      <c r="A105" s="78">
        <v>190</v>
      </c>
      <c r="B105" s="76" t="s">
        <v>83</v>
      </c>
      <c r="C105" s="77">
        <v>2022680010086</v>
      </c>
      <c r="D105" s="76" t="s">
        <v>85</v>
      </c>
      <c r="E105" s="76" t="s">
        <v>312</v>
      </c>
      <c r="F105" s="78" t="s">
        <v>313</v>
      </c>
      <c r="G105" s="78" t="s">
        <v>117</v>
      </c>
      <c r="H105" s="78" t="s">
        <v>118</v>
      </c>
      <c r="I105" s="76" t="s">
        <v>314</v>
      </c>
      <c r="J105" s="76" t="s">
        <v>310</v>
      </c>
      <c r="K105" s="79">
        <v>44946</v>
      </c>
      <c r="L105" s="81">
        <v>2940000</v>
      </c>
      <c r="M105" s="81">
        <v>2940000</v>
      </c>
      <c r="N105" s="340">
        <f>269500+735000</f>
        <v>1004500</v>
      </c>
      <c r="O105" s="76" t="s">
        <v>315</v>
      </c>
    </row>
    <row r="106" spans="1:15" ht="15" x14ac:dyDescent="0.25">
      <c r="A106" s="78">
        <v>188</v>
      </c>
      <c r="B106" s="76" t="s">
        <v>83</v>
      </c>
      <c r="C106" s="77">
        <v>2022680010086</v>
      </c>
      <c r="D106" s="76" t="s">
        <v>85</v>
      </c>
      <c r="E106" s="76" t="s">
        <v>344</v>
      </c>
      <c r="F106" s="78" t="s">
        <v>345</v>
      </c>
      <c r="G106" s="78" t="s">
        <v>117</v>
      </c>
      <c r="H106" s="78" t="s">
        <v>118</v>
      </c>
      <c r="I106" s="76" t="s">
        <v>346</v>
      </c>
      <c r="J106" s="76" t="s">
        <v>310</v>
      </c>
      <c r="K106" s="79">
        <v>44952</v>
      </c>
      <c r="L106" s="81">
        <v>11900000</v>
      </c>
      <c r="M106" s="81">
        <v>11900000</v>
      </c>
      <c r="N106" s="340">
        <f>283333.333333333+1700000</f>
        <v>1983333.333333333</v>
      </c>
      <c r="O106" s="76" t="s">
        <v>347</v>
      </c>
    </row>
    <row r="107" spans="1:15" ht="15" x14ac:dyDescent="0.25">
      <c r="A107" s="78">
        <v>189</v>
      </c>
      <c r="B107" s="76" t="s">
        <v>83</v>
      </c>
      <c r="C107" s="77">
        <v>2022680010086</v>
      </c>
      <c r="D107" s="76" t="s">
        <v>85</v>
      </c>
      <c r="E107" s="76" t="s">
        <v>344</v>
      </c>
      <c r="F107" s="78" t="s">
        <v>345</v>
      </c>
      <c r="G107" s="78" t="s">
        <v>117</v>
      </c>
      <c r="H107" s="78" t="s">
        <v>118</v>
      </c>
      <c r="I107" s="76" t="s">
        <v>346</v>
      </c>
      <c r="J107" s="76" t="s">
        <v>310</v>
      </c>
      <c r="K107" s="79">
        <v>44952</v>
      </c>
      <c r="L107" s="81">
        <v>11900000</v>
      </c>
      <c r="M107" s="81">
        <v>11900000</v>
      </c>
      <c r="N107" s="340">
        <f>283333.333333333+1700000</f>
        <v>1983333.333333333</v>
      </c>
      <c r="O107" s="76" t="s">
        <v>347</v>
      </c>
    </row>
    <row r="108" spans="1:15" ht="15" x14ac:dyDescent="0.25">
      <c r="A108" s="78">
        <v>190</v>
      </c>
      <c r="B108" s="76" t="s">
        <v>83</v>
      </c>
      <c r="C108" s="77">
        <v>2022680010086</v>
      </c>
      <c r="D108" s="76" t="s">
        <v>85</v>
      </c>
      <c r="E108" s="76" t="s">
        <v>344</v>
      </c>
      <c r="F108" s="78" t="s">
        <v>345</v>
      </c>
      <c r="G108" s="78" t="s">
        <v>117</v>
      </c>
      <c r="H108" s="78" t="s">
        <v>118</v>
      </c>
      <c r="I108" s="76" t="s">
        <v>346</v>
      </c>
      <c r="J108" s="76" t="s">
        <v>310</v>
      </c>
      <c r="K108" s="79">
        <v>44952</v>
      </c>
      <c r="L108" s="81">
        <v>11900000</v>
      </c>
      <c r="M108" s="81">
        <v>11900000</v>
      </c>
      <c r="N108" s="340">
        <f>283333.333333333+1700000</f>
        <v>1983333.333333333</v>
      </c>
      <c r="O108" s="76" t="s">
        <v>347</v>
      </c>
    </row>
    <row r="109" spans="1:15" ht="15" x14ac:dyDescent="0.25">
      <c r="A109" s="78">
        <v>188</v>
      </c>
      <c r="B109" s="76" t="s">
        <v>83</v>
      </c>
      <c r="C109" s="77">
        <v>2022680010086</v>
      </c>
      <c r="D109" s="76" t="s">
        <v>85</v>
      </c>
      <c r="E109" s="76" t="s">
        <v>340</v>
      </c>
      <c r="F109" s="78" t="s">
        <v>348</v>
      </c>
      <c r="G109" s="78" t="s">
        <v>117</v>
      </c>
      <c r="H109" s="78" t="s">
        <v>118</v>
      </c>
      <c r="I109" s="76" t="s">
        <v>349</v>
      </c>
      <c r="J109" s="76" t="s">
        <v>310</v>
      </c>
      <c r="K109" s="79">
        <v>44957</v>
      </c>
      <c r="L109" s="81">
        <v>4900000</v>
      </c>
      <c r="M109" s="81">
        <v>4900000</v>
      </c>
      <c r="N109" s="340">
        <v>1225000</v>
      </c>
      <c r="O109" s="76" t="s">
        <v>350</v>
      </c>
    </row>
    <row r="110" spans="1:15" ht="15" x14ac:dyDescent="0.25">
      <c r="A110" s="78">
        <v>189</v>
      </c>
      <c r="B110" s="76" t="s">
        <v>83</v>
      </c>
      <c r="C110" s="77">
        <v>2022680010086</v>
      </c>
      <c r="D110" s="76" t="s">
        <v>85</v>
      </c>
      <c r="E110" s="76" t="s">
        <v>340</v>
      </c>
      <c r="F110" s="78" t="s">
        <v>348</v>
      </c>
      <c r="G110" s="78" t="s">
        <v>117</v>
      </c>
      <c r="H110" s="78" t="s">
        <v>118</v>
      </c>
      <c r="I110" s="76" t="s">
        <v>349</v>
      </c>
      <c r="J110" s="76" t="s">
        <v>310</v>
      </c>
      <c r="K110" s="79">
        <v>44957</v>
      </c>
      <c r="L110" s="81">
        <v>4900000</v>
      </c>
      <c r="M110" s="81">
        <v>4900000</v>
      </c>
      <c r="N110" s="340">
        <v>1225000</v>
      </c>
      <c r="O110" s="76" t="s">
        <v>350</v>
      </c>
    </row>
    <row r="111" spans="1:15" ht="15" x14ac:dyDescent="0.25">
      <c r="A111" s="78">
        <v>190</v>
      </c>
      <c r="B111" s="76" t="s">
        <v>83</v>
      </c>
      <c r="C111" s="77">
        <v>2022680010086</v>
      </c>
      <c r="D111" s="76" t="s">
        <v>85</v>
      </c>
      <c r="E111" s="76" t="s">
        <v>340</v>
      </c>
      <c r="F111" s="78" t="s">
        <v>348</v>
      </c>
      <c r="G111" s="78" t="s">
        <v>117</v>
      </c>
      <c r="H111" s="78" t="s">
        <v>118</v>
      </c>
      <c r="I111" s="76" t="s">
        <v>349</v>
      </c>
      <c r="J111" s="76" t="s">
        <v>310</v>
      </c>
      <c r="K111" s="79">
        <v>44957</v>
      </c>
      <c r="L111" s="81">
        <v>4900000</v>
      </c>
      <c r="M111" s="81">
        <v>4900000</v>
      </c>
      <c r="N111" s="340">
        <v>1225000</v>
      </c>
      <c r="O111" s="76" t="s">
        <v>350</v>
      </c>
    </row>
    <row r="112" spans="1:15" ht="15" x14ac:dyDescent="0.25">
      <c r="A112" s="78">
        <v>188</v>
      </c>
      <c r="B112" s="76" t="s">
        <v>83</v>
      </c>
      <c r="C112" s="77">
        <v>2022680010086</v>
      </c>
      <c r="D112" s="76" t="s">
        <v>85</v>
      </c>
      <c r="E112" s="76" t="s">
        <v>328</v>
      </c>
      <c r="F112" s="78" t="s">
        <v>329</v>
      </c>
      <c r="G112" s="78" t="s">
        <v>117</v>
      </c>
      <c r="H112" s="78" t="s">
        <v>118</v>
      </c>
      <c r="I112" s="76" t="s">
        <v>330</v>
      </c>
      <c r="J112" s="76" t="s">
        <v>310</v>
      </c>
      <c r="K112" s="79">
        <v>44950</v>
      </c>
      <c r="L112" s="81">
        <v>10290000</v>
      </c>
      <c r="M112" s="81">
        <v>10290000</v>
      </c>
      <c r="N112" s="340">
        <f>300125+1286250</f>
        <v>1586375</v>
      </c>
      <c r="O112" s="76" t="s">
        <v>331</v>
      </c>
    </row>
    <row r="113" spans="1:15" ht="15" x14ac:dyDescent="0.25">
      <c r="A113" s="78">
        <v>189</v>
      </c>
      <c r="B113" s="76" t="s">
        <v>83</v>
      </c>
      <c r="C113" s="77">
        <v>2022680010086</v>
      </c>
      <c r="D113" s="76" t="s">
        <v>85</v>
      </c>
      <c r="E113" s="76" t="s">
        <v>328</v>
      </c>
      <c r="F113" s="78" t="s">
        <v>329</v>
      </c>
      <c r="G113" s="78" t="s">
        <v>117</v>
      </c>
      <c r="H113" s="78" t="s">
        <v>118</v>
      </c>
      <c r="I113" s="76" t="s">
        <v>330</v>
      </c>
      <c r="J113" s="76" t="s">
        <v>310</v>
      </c>
      <c r="K113" s="79">
        <v>44950</v>
      </c>
      <c r="L113" s="81">
        <v>10290000</v>
      </c>
      <c r="M113" s="335">
        <v>10290000</v>
      </c>
      <c r="N113" s="340">
        <f>300125+1286250</f>
        <v>1586375</v>
      </c>
      <c r="O113" s="1" t="s">
        <v>331</v>
      </c>
    </row>
    <row r="114" spans="1:15" ht="15" x14ac:dyDescent="0.25">
      <c r="A114" s="78">
        <v>190</v>
      </c>
      <c r="B114" s="76" t="s">
        <v>83</v>
      </c>
      <c r="C114" s="77">
        <v>2022680010086</v>
      </c>
      <c r="D114" s="1" t="s">
        <v>85</v>
      </c>
      <c r="E114" s="76" t="s">
        <v>328</v>
      </c>
      <c r="F114" s="78" t="s">
        <v>329</v>
      </c>
      <c r="G114" s="332" t="s">
        <v>117</v>
      </c>
      <c r="H114" s="78" t="s">
        <v>118</v>
      </c>
      <c r="I114" s="76" t="s">
        <v>330</v>
      </c>
      <c r="J114" s="76" t="s">
        <v>310</v>
      </c>
      <c r="K114" s="79">
        <v>44950</v>
      </c>
      <c r="L114" s="81">
        <v>10290000</v>
      </c>
      <c r="M114" s="335">
        <v>10290000</v>
      </c>
      <c r="N114" s="340">
        <f>300125+1286250</f>
        <v>1586375</v>
      </c>
      <c r="O114" s="1" t="s">
        <v>331</v>
      </c>
    </row>
    <row r="115" spans="1:15" ht="15" x14ac:dyDescent="0.25">
      <c r="A115" s="78">
        <v>188</v>
      </c>
      <c r="B115" s="76" t="s">
        <v>83</v>
      </c>
      <c r="C115" s="77">
        <v>2022680010086</v>
      </c>
      <c r="D115" s="1" t="s">
        <v>85</v>
      </c>
      <c r="E115" s="76" t="s">
        <v>324</v>
      </c>
      <c r="F115" s="78" t="s">
        <v>325</v>
      </c>
      <c r="G115" s="78" t="s">
        <v>117</v>
      </c>
      <c r="H115" s="78" t="s">
        <v>118</v>
      </c>
      <c r="I115" s="76" t="s">
        <v>326</v>
      </c>
      <c r="J115" s="76" t="s">
        <v>310</v>
      </c>
      <c r="K115" s="79">
        <v>44950</v>
      </c>
      <c r="L115" s="81">
        <v>6533333.333333333</v>
      </c>
      <c r="M115" s="335">
        <v>6533333.333333333</v>
      </c>
      <c r="N115" s="341">
        <f>217777.666666667+933333</f>
        <v>1151110.666666667</v>
      </c>
      <c r="O115" s="1" t="s">
        <v>327</v>
      </c>
    </row>
    <row r="116" spans="1:15" ht="15" x14ac:dyDescent="0.25">
      <c r="A116" s="78">
        <v>189</v>
      </c>
      <c r="B116" s="76" t="s">
        <v>83</v>
      </c>
      <c r="C116" s="77">
        <v>2022680010086</v>
      </c>
      <c r="D116" s="1" t="s">
        <v>85</v>
      </c>
      <c r="E116" s="76" t="s">
        <v>324</v>
      </c>
      <c r="F116" s="78" t="s">
        <v>325</v>
      </c>
      <c r="G116" s="78" t="s">
        <v>117</v>
      </c>
      <c r="H116" s="78" t="s">
        <v>118</v>
      </c>
      <c r="I116" s="76" t="s">
        <v>326</v>
      </c>
      <c r="J116" s="76" t="s">
        <v>310</v>
      </c>
      <c r="K116" s="79">
        <v>44950</v>
      </c>
      <c r="L116" s="81">
        <v>6533333.333333333</v>
      </c>
      <c r="M116" s="335">
        <v>6533333.333333333</v>
      </c>
      <c r="N116" s="341">
        <f>217777.666666667+933333</f>
        <v>1151110.666666667</v>
      </c>
      <c r="O116" s="1" t="s">
        <v>327</v>
      </c>
    </row>
    <row r="117" spans="1:15" ht="15" x14ac:dyDescent="0.25">
      <c r="A117" s="78">
        <v>190</v>
      </c>
      <c r="B117" s="76" t="s">
        <v>83</v>
      </c>
      <c r="C117" s="77">
        <v>2022680010086</v>
      </c>
      <c r="D117" s="76" t="s">
        <v>85</v>
      </c>
      <c r="E117" s="76" t="s">
        <v>324</v>
      </c>
      <c r="F117" s="78" t="s">
        <v>325</v>
      </c>
      <c r="G117" s="78" t="s">
        <v>117</v>
      </c>
      <c r="H117" s="78" t="s">
        <v>118</v>
      </c>
      <c r="I117" s="76" t="s">
        <v>326</v>
      </c>
      <c r="J117" s="76" t="s">
        <v>310</v>
      </c>
      <c r="K117" s="79">
        <v>44950</v>
      </c>
      <c r="L117" s="81">
        <v>6533333.333333333</v>
      </c>
      <c r="M117" s="335">
        <v>6533333.333333333</v>
      </c>
      <c r="N117" s="341">
        <f>217777.666666667+933333</f>
        <v>1151110.666666667</v>
      </c>
      <c r="O117" s="1" t="s">
        <v>327</v>
      </c>
    </row>
    <row r="118" spans="1:15" ht="15" x14ac:dyDescent="0.25">
      <c r="A118" s="78">
        <v>188</v>
      </c>
      <c r="B118" s="76" t="s">
        <v>83</v>
      </c>
      <c r="C118" s="77">
        <v>2022680010086</v>
      </c>
      <c r="D118" s="76" t="s">
        <v>85</v>
      </c>
      <c r="E118" s="76" t="s">
        <v>316</v>
      </c>
      <c r="F118" s="78" t="s">
        <v>317</v>
      </c>
      <c r="G118" s="78" t="s">
        <v>117</v>
      </c>
      <c r="H118" s="78" t="s">
        <v>118</v>
      </c>
      <c r="I118" s="76" t="s">
        <v>318</v>
      </c>
      <c r="J118" s="76" t="s">
        <v>310</v>
      </c>
      <c r="K118" s="79">
        <v>44946</v>
      </c>
      <c r="L118" s="81">
        <v>6000000</v>
      </c>
      <c r="M118" s="335">
        <v>6000000</v>
      </c>
      <c r="N118" s="341">
        <f>550000+1500000</f>
        <v>2050000</v>
      </c>
      <c r="O118" s="1" t="s">
        <v>319</v>
      </c>
    </row>
    <row r="119" spans="1:15" ht="15" x14ac:dyDescent="0.25">
      <c r="A119" s="78">
        <v>189</v>
      </c>
      <c r="B119" s="76" t="s">
        <v>83</v>
      </c>
      <c r="C119" s="77">
        <v>2022680010086</v>
      </c>
      <c r="D119" s="76" t="s">
        <v>85</v>
      </c>
      <c r="E119" s="76" t="s">
        <v>316</v>
      </c>
      <c r="F119" s="78" t="s">
        <v>317</v>
      </c>
      <c r="G119" s="78" t="s">
        <v>117</v>
      </c>
      <c r="H119" s="78" t="s">
        <v>118</v>
      </c>
      <c r="I119" s="76" t="s">
        <v>318</v>
      </c>
      <c r="J119" s="76" t="s">
        <v>310</v>
      </c>
      <c r="K119" s="79">
        <v>44946</v>
      </c>
      <c r="L119" s="81">
        <v>6000000</v>
      </c>
      <c r="M119" s="335">
        <v>6000000</v>
      </c>
      <c r="N119" s="341">
        <f>550000+1500000</f>
        <v>2050000</v>
      </c>
      <c r="O119" s="1" t="s">
        <v>319</v>
      </c>
    </row>
    <row r="120" spans="1:15" ht="15" x14ac:dyDescent="0.25">
      <c r="A120" s="78">
        <v>190</v>
      </c>
      <c r="B120" s="76" t="s">
        <v>83</v>
      </c>
      <c r="C120" s="77">
        <v>2022680010086</v>
      </c>
      <c r="D120" s="76" t="s">
        <v>85</v>
      </c>
      <c r="E120" s="76" t="s">
        <v>316</v>
      </c>
      <c r="F120" s="78" t="s">
        <v>317</v>
      </c>
      <c r="G120" s="78" t="s">
        <v>117</v>
      </c>
      <c r="H120" s="78" t="s">
        <v>118</v>
      </c>
      <c r="I120" s="76" t="s">
        <v>318</v>
      </c>
      <c r="J120" s="76" t="s">
        <v>310</v>
      </c>
      <c r="K120" s="79">
        <v>44946</v>
      </c>
      <c r="L120" s="81">
        <v>6000000</v>
      </c>
      <c r="M120" s="335">
        <v>6000000</v>
      </c>
      <c r="N120" s="341">
        <f>550000+1500000</f>
        <v>2050000</v>
      </c>
      <c r="O120" s="1" t="s">
        <v>319</v>
      </c>
    </row>
    <row r="121" spans="1:15" ht="15" x14ac:dyDescent="0.25">
      <c r="A121" s="78">
        <v>188</v>
      </c>
      <c r="B121" s="76" t="s">
        <v>83</v>
      </c>
      <c r="C121" s="77">
        <v>2022680010086</v>
      </c>
      <c r="D121" s="76" t="s">
        <v>85</v>
      </c>
      <c r="E121" s="76" t="s">
        <v>320</v>
      </c>
      <c r="F121" s="78" t="s">
        <v>321</v>
      </c>
      <c r="G121" s="78" t="s">
        <v>117</v>
      </c>
      <c r="H121" s="78" t="s">
        <v>118</v>
      </c>
      <c r="I121" s="76" t="s">
        <v>322</v>
      </c>
      <c r="J121" s="76" t="s">
        <v>310</v>
      </c>
      <c r="K121" s="79">
        <v>44950</v>
      </c>
      <c r="L121" s="81">
        <v>9800000</v>
      </c>
      <c r="M121" s="335">
        <v>9800000</v>
      </c>
      <c r="N121" s="341">
        <f>285833.333333333+1225000</f>
        <v>1510833.333333333</v>
      </c>
      <c r="O121" s="1" t="s">
        <v>323</v>
      </c>
    </row>
    <row r="122" spans="1:15" ht="15" x14ac:dyDescent="0.25">
      <c r="A122" s="78">
        <v>189</v>
      </c>
      <c r="B122" s="76" t="s">
        <v>83</v>
      </c>
      <c r="C122" s="77">
        <v>2022680010086</v>
      </c>
      <c r="D122" s="76" t="s">
        <v>85</v>
      </c>
      <c r="E122" s="76" t="s">
        <v>320</v>
      </c>
      <c r="F122" s="78" t="s">
        <v>321</v>
      </c>
      <c r="G122" s="78" t="s">
        <v>117</v>
      </c>
      <c r="H122" s="78" t="s">
        <v>118</v>
      </c>
      <c r="I122" s="76" t="s">
        <v>322</v>
      </c>
      <c r="J122" s="76" t="s">
        <v>310</v>
      </c>
      <c r="K122" s="79">
        <v>44950</v>
      </c>
      <c r="L122" s="81">
        <v>9800000</v>
      </c>
      <c r="M122" s="335">
        <v>9800000</v>
      </c>
      <c r="N122" s="341">
        <f>285833.333333333+1225000</f>
        <v>1510833.333333333</v>
      </c>
      <c r="O122" s="1" t="s">
        <v>323</v>
      </c>
    </row>
    <row r="123" spans="1:15" ht="15" x14ac:dyDescent="0.25">
      <c r="A123" s="78">
        <v>190</v>
      </c>
      <c r="B123" s="76" t="s">
        <v>83</v>
      </c>
      <c r="C123" s="77">
        <v>2022680010086</v>
      </c>
      <c r="D123" s="76" t="s">
        <v>85</v>
      </c>
      <c r="E123" s="76" t="s">
        <v>320</v>
      </c>
      <c r="F123" s="78" t="s">
        <v>321</v>
      </c>
      <c r="G123" s="78" t="s">
        <v>117</v>
      </c>
      <c r="H123" s="78" t="s">
        <v>118</v>
      </c>
      <c r="I123" s="76" t="s">
        <v>322</v>
      </c>
      <c r="J123" s="76" t="s">
        <v>310</v>
      </c>
      <c r="K123" s="79">
        <v>44950</v>
      </c>
      <c r="L123" s="81">
        <v>9800000</v>
      </c>
      <c r="M123" s="335">
        <v>9800000</v>
      </c>
      <c r="N123" s="341">
        <f>285833.333333333+1225000</f>
        <v>1510833.333333333</v>
      </c>
      <c r="O123" s="1" t="s">
        <v>323</v>
      </c>
    </row>
    <row r="124" spans="1:15" ht="15" x14ac:dyDescent="0.25">
      <c r="A124" s="78">
        <v>188</v>
      </c>
      <c r="B124" s="76" t="s">
        <v>83</v>
      </c>
      <c r="C124" s="77">
        <v>2022680010086</v>
      </c>
      <c r="D124" s="76" t="s">
        <v>85</v>
      </c>
      <c r="E124" s="76" t="s">
        <v>307</v>
      </c>
      <c r="F124" s="78" t="s">
        <v>308</v>
      </c>
      <c r="G124" s="78" t="s">
        <v>117</v>
      </c>
      <c r="H124" s="78" t="s">
        <v>118</v>
      </c>
      <c r="I124" s="76" t="s">
        <v>309</v>
      </c>
      <c r="J124" s="76" t="s">
        <v>310</v>
      </c>
      <c r="K124" s="79">
        <v>44945</v>
      </c>
      <c r="L124" s="81">
        <v>7350000</v>
      </c>
      <c r="M124" s="335">
        <v>7350000</v>
      </c>
      <c r="N124" s="341">
        <f>367500+918750</f>
        <v>1286250</v>
      </c>
      <c r="O124" s="1" t="s">
        <v>311</v>
      </c>
    </row>
    <row r="125" spans="1:15" ht="15" x14ac:dyDescent="0.25">
      <c r="A125" s="78">
        <v>189</v>
      </c>
      <c r="B125" s="76" t="s">
        <v>83</v>
      </c>
      <c r="C125" s="77">
        <v>2022680010086</v>
      </c>
      <c r="D125" s="76" t="s">
        <v>85</v>
      </c>
      <c r="E125" s="76" t="s">
        <v>307</v>
      </c>
      <c r="F125" s="78" t="s">
        <v>308</v>
      </c>
      <c r="G125" s="78" t="s">
        <v>117</v>
      </c>
      <c r="H125" s="78" t="s">
        <v>118</v>
      </c>
      <c r="I125" s="76" t="s">
        <v>309</v>
      </c>
      <c r="J125" s="76" t="s">
        <v>310</v>
      </c>
      <c r="K125" s="79">
        <v>44945</v>
      </c>
      <c r="L125" s="81">
        <v>7350000</v>
      </c>
      <c r="M125" s="335">
        <v>7350000</v>
      </c>
      <c r="N125" s="341">
        <f>367500+918750</f>
        <v>1286250</v>
      </c>
      <c r="O125" s="1" t="s">
        <v>311</v>
      </c>
    </row>
    <row r="126" spans="1:15" ht="15" x14ac:dyDescent="0.25">
      <c r="A126" s="78">
        <v>190</v>
      </c>
      <c r="B126" s="76" t="s">
        <v>83</v>
      </c>
      <c r="C126" s="77">
        <v>2022680010086</v>
      </c>
      <c r="D126" s="76" t="s">
        <v>85</v>
      </c>
      <c r="E126" s="76" t="s">
        <v>307</v>
      </c>
      <c r="F126" s="78" t="s">
        <v>308</v>
      </c>
      <c r="G126" s="78" t="s">
        <v>117</v>
      </c>
      <c r="H126" s="78" t="s">
        <v>118</v>
      </c>
      <c r="I126" s="76" t="s">
        <v>309</v>
      </c>
      <c r="J126" s="76" t="s">
        <v>310</v>
      </c>
      <c r="K126" s="79">
        <v>44945</v>
      </c>
      <c r="L126" s="81">
        <v>7350000</v>
      </c>
      <c r="M126" s="335">
        <v>7350000</v>
      </c>
      <c r="N126" s="341">
        <f>367500+918750</f>
        <v>1286250</v>
      </c>
      <c r="O126" s="1" t="s">
        <v>311</v>
      </c>
    </row>
    <row r="127" spans="1:15" ht="15" x14ac:dyDescent="0.25">
      <c r="A127" s="78">
        <v>188</v>
      </c>
      <c r="B127" s="76" t="s">
        <v>83</v>
      </c>
      <c r="C127" s="77">
        <v>2022680010086</v>
      </c>
      <c r="D127" s="76" t="s">
        <v>85</v>
      </c>
      <c r="E127" s="76" t="s">
        <v>332</v>
      </c>
      <c r="F127" s="78" t="s">
        <v>333</v>
      </c>
      <c r="G127" s="78" t="s">
        <v>117</v>
      </c>
      <c r="H127" s="78" t="s">
        <v>118</v>
      </c>
      <c r="I127" s="76" t="s">
        <v>334</v>
      </c>
      <c r="J127" s="76" t="s">
        <v>310</v>
      </c>
      <c r="K127" s="79">
        <v>44950</v>
      </c>
      <c r="L127" s="81">
        <v>3200000</v>
      </c>
      <c r="M127" s="335">
        <v>3200000</v>
      </c>
      <c r="N127" s="341">
        <f>186666.666666667+800000</f>
        <v>986666.66666666698</v>
      </c>
      <c r="O127" s="1" t="s">
        <v>335</v>
      </c>
    </row>
    <row r="128" spans="1:15" ht="15" x14ac:dyDescent="0.25">
      <c r="A128" s="78">
        <v>189</v>
      </c>
      <c r="B128" s="76" t="s">
        <v>83</v>
      </c>
      <c r="C128" s="77">
        <v>2022680010086</v>
      </c>
      <c r="D128" s="76" t="s">
        <v>85</v>
      </c>
      <c r="E128" s="76" t="s">
        <v>332</v>
      </c>
      <c r="F128" s="78" t="s">
        <v>333</v>
      </c>
      <c r="G128" s="78" t="s">
        <v>117</v>
      </c>
      <c r="H128" s="78" t="s">
        <v>118</v>
      </c>
      <c r="I128" s="76" t="s">
        <v>334</v>
      </c>
      <c r="J128" s="76" t="s">
        <v>310</v>
      </c>
      <c r="K128" s="79">
        <v>44950</v>
      </c>
      <c r="L128" s="81">
        <v>3200000</v>
      </c>
      <c r="M128" s="335">
        <v>3200000</v>
      </c>
      <c r="N128" s="341">
        <f>186666.666666667+800000</f>
        <v>986666.66666666698</v>
      </c>
      <c r="O128" s="1" t="s">
        <v>335</v>
      </c>
    </row>
    <row r="129" spans="1:15" ht="15" x14ac:dyDescent="0.25">
      <c r="A129" s="78">
        <v>190</v>
      </c>
      <c r="B129" s="76" t="s">
        <v>83</v>
      </c>
      <c r="C129" s="77">
        <v>2022680010086</v>
      </c>
      <c r="D129" s="76" t="s">
        <v>85</v>
      </c>
      <c r="E129" s="76" t="s">
        <v>332</v>
      </c>
      <c r="F129" s="78" t="s">
        <v>333</v>
      </c>
      <c r="G129" s="78" t="s">
        <v>117</v>
      </c>
      <c r="H129" s="78" t="s">
        <v>118</v>
      </c>
      <c r="I129" s="76" t="s">
        <v>334</v>
      </c>
      <c r="J129" s="76" t="s">
        <v>310</v>
      </c>
      <c r="K129" s="79">
        <v>44950</v>
      </c>
      <c r="L129" s="81">
        <v>3200000</v>
      </c>
      <c r="M129" s="335">
        <v>3200000</v>
      </c>
      <c r="N129" s="341">
        <f>186666.666666667+800000</f>
        <v>986666.66666666698</v>
      </c>
      <c r="O129" s="1" t="s">
        <v>335</v>
      </c>
    </row>
    <row r="130" spans="1:15" ht="15" x14ac:dyDescent="0.2">
      <c r="A130" s="78">
        <v>302</v>
      </c>
      <c r="B130" s="76" t="s">
        <v>95</v>
      </c>
      <c r="C130" s="84">
        <v>2021680010176</v>
      </c>
      <c r="D130" s="76" t="s">
        <v>97</v>
      </c>
      <c r="E130" s="76" t="s">
        <v>351</v>
      </c>
      <c r="F130" s="85" t="s">
        <v>352</v>
      </c>
      <c r="G130" s="79" t="s">
        <v>117</v>
      </c>
      <c r="H130" s="85" t="s">
        <v>118</v>
      </c>
      <c r="I130" s="76" t="s">
        <v>353</v>
      </c>
      <c r="J130" s="85" t="s">
        <v>354</v>
      </c>
      <c r="K130" s="79">
        <v>44967</v>
      </c>
      <c r="L130" s="86">
        <v>16000000</v>
      </c>
      <c r="M130" s="334">
        <v>16000000</v>
      </c>
      <c r="N130" s="342">
        <v>2800000</v>
      </c>
      <c r="O130" s="337" t="s">
        <v>355</v>
      </c>
    </row>
    <row r="131" spans="1:15" ht="15" x14ac:dyDescent="0.2">
      <c r="A131" s="78">
        <v>302</v>
      </c>
      <c r="B131" s="76" t="s">
        <v>95</v>
      </c>
      <c r="C131" s="84">
        <v>2021680010176</v>
      </c>
      <c r="D131" s="76" t="s">
        <v>97</v>
      </c>
      <c r="E131" s="76" t="s">
        <v>356</v>
      </c>
      <c r="F131" s="85" t="s">
        <v>357</v>
      </c>
      <c r="G131" s="79" t="s">
        <v>117</v>
      </c>
      <c r="H131" s="85" t="s">
        <v>118</v>
      </c>
      <c r="I131" s="76" t="s">
        <v>358</v>
      </c>
      <c r="J131" s="85" t="s">
        <v>354</v>
      </c>
      <c r="K131" s="79">
        <v>44945</v>
      </c>
      <c r="L131" s="87">
        <v>18000000</v>
      </c>
      <c r="M131" s="336">
        <v>18000000</v>
      </c>
      <c r="N131" s="342">
        <f>1440000+3600000</f>
        <v>5040000</v>
      </c>
      <c r="O131" s="338" t="s">
        <v>359</v>
      </c>
    </row>
    <row r="132" spans="1:15" ht="15" x14ac:dyDescent="0.2">
      <c r="A132" s="78">
        <v>302</v>
      </c>
      <c r="B132" s="76" t="s">
        <v>95</v>
      </c>
      <c r="C132" s="84">
        <v>2021680010176</v>
      </c>
      <c r="D132" s="76" t="s">
        <v>97</v>
      </c>
      <c r="E132" s="76" t="s">
        <v>360</v>
      </c>
      <c r="F132" s="85" t="s">
        <v>361</v>
      </c>
      <c r="G132" s="79" t="s">
        <v>117</v>
      </c>
      <c r="H132" s="85" t="s">
        <v>118</v>
      </c>
      <c r="I132" s="76" t="s">
        <v>362</v>
      </c>
      <c r="J132" s="85" t="s">
        <v>354</v>
      </c>
      <c r="K132" s="79">
        <v>44946</v>
      </c>
      <c r="L132" s="87">
        <v>14000000</v>
      </c>
      <c r="M132" s="336">
        <v>14000000</v>
      </c>
      <c r="N132" s="342">
        <f>1283333+3500000</f>
        <v>4783333</v>
      </c>
      <c r="O132" s="338" t="s">
        <v>363</v>
      </c>
    </row>
    <row r="133" spans="1:15" ht="15" x14ac:dyDescent="0.2">
      <c r="A133" s="78">
        <v>302</v>
      </c>
      <c r="B133" s="76" t="s">
        <v>95</v>
      </c>
      <c r="C133" s="84">
        <v>2021680010176</v>
      </c>
      <c r="D133" s="76" t="s">
        <v>97</v>
      </c>
      <c r="E133" s="76" t="s">
        <v>364</v>
      </c>
      <c r="F133" s="85" t="s">
        <v>365</v>
      </c>
      <c r="G133" s="79" t="s">
        <v>117</v>
      </c>
      <c r="H133" s="85" t="s">
        <v>118</v>
      </c>
      <c r="I133" s="76" t="s">
        <v>366</v>
      </c>
      <c r="J133" s="85" t="s">
        <v>354</v>
      </c>
      <c r="K133" s="79">
        <v>44939</v>
      </c>
      <c r="L133" s="86">
        <v>32000000</v>
      </c>
      <c r="M133" s="334">
        <v>32000000</v>
      </c>
      <c r="N133" s="343">
        <f>2400000+4000000</f>
        <v>6400000</v>
      </c>
      <c r="O133" s="338" t="s">
        <v>367</v>
      </c>
    </row>
    <row r="134" spans="1:15" ht="15" x14ac:dyDescent="0.2">
      <c r="A134" s="78">
        <v>302</v>
      </c>
      <c r="B134" s="76" t="s">
        <v>95</v>
      </c>
      <c r="C134" s="84">
        <v>2021680010176</v>
      </c>
      <c r="D134" s="76" t="s">
        <v>97</v>
      </c>
      <c r="E134" s="76" t="s">
        <v>368</v>
      </c>
      <c r="F134" s="85" t="s">
        <v>369</v>
      </c>
      <c r="G134" s="79" t="s">
        <v>117</v>
      </c>
      <c r="H134" s="85" t="s">
        <v>118</v>
      </c>
      <c r="I134" s="76" t="s">
        <v>370</v>
      </c>
      <c r="J134" s="85" t="s">
        <v>354</v>
      </c>
      <c r="K134" s="79">
        <v>44938</v>
      </c>
      <c r="L134" s="86">
        <v>40000000</v>
      </c>
      <c r="M134" s="334">
        <v>40000000</v>
      </c>
      <c r="N134" s="343">
        <f>3166667+5000000</f>
        <v>8166667</v>
      </c>
      <c r="O134" s="338" t="s">
        <v>371</v>
      </c>
    </row>
    <row r="135" spans="1:15" ht="15" x14ac:dyDescent="0.2">
      <c r="A135" s="78">
        <v>302</v>
      </c>
      <c r="B135" s="76" t="s">
        <v>95</v>
      </c>
      <c r="C135" s="84">
        <v>2021680010176</v>
      </c>
      <c r="D135" s="76" t="s">
        <v>97</v>
      </c>
      <c r="E135" s="76" t="s">
        <v>372</v>
      </c>
      <c r="F135" s="85" t="s">
        <v>373</v>
      </c>
      <c r="G135" s="79" t="s">
        <v>117</v>
      </c>
      <c r="H135" s="85" t="s">
        <v>118</v>
      </c>
      <c r="I135" s="76" t="s">
        <v>374</v>
      </c>
      <c r="J135" s="85" t="s">
        <v>354</v>
      </c>
      <c r="K135" s="79">
        <v>44939</v>
      </c>
      <c r="L135" s="86">
        <v>16000000</v>
      </c>
      <c r="M135" s="334">
        <v>16000000</v>
      </c>
      <c r="N135" s="343">
        <f>2400000+4000000</f>
        <v>6400000</v>
      </c>
      <c r="O135" s="338" t="s">
        <v>375</v>
      </c>
    </row>
    <row r="136" spans="1:15" ht="15" x14ac:dyDescent="0.2">
      <c r="A136" s="78">
        <v>302</v>
      </c>
      <c r="B136" s="76" t="s">
        <v>95</v>
      </c>
      <c r="C136" s="84">
        <v>2021680010176</v>
      </c>
      <c r="D136" s="76" t="s">
        <v>97</v>
      </c>
      <c r="E136" s="76" t="s">
        <v>434</v>
      </c>
      <c r="F136" s="78" t="s">
        <v>903</v>
      </c>
      <c r="G136" s="79" t="s">
        <v>117</v>
      </c>
      <c r="H136" s="85" t="s">
        <v>118</v>
      </c>
      <c r="I136" s="76" t="s">
        <v>880</v>
      </c>
      <c r="J136" s="76" t="s">
        <v>354</v>
      </c>
      <c r="K136" s="79">
        <v>45009</v>
      </c>
      <c r="L136" s="86">
        <v>8820000</v>
      </c>
      <c r="M136" s="86">
        <v>8820000</v>
      </c>
      <c r="N136" s="344"/>
      <c r="O136" s="1"/>
    </row>
    <row r="137" spans="1:15" ht="15" x14ac:dyDescent="0.2">
      <c r="A137" s="78">
        <v>302</v>
      </c>
      <c r="B137" s="76" t="s">
        <v>95</v>
      </c>
      <c r="C137" s="84">
        <v>2021680010176</v>
      </c>
      <c r="D137" s="1" t="s">
        <v>97</v>
      </c>
      <c r="E137" s="76" t="s">
        <v>376</v>
      </c>
      <c r="F137" s="85" t="s">
        <v>377</v>
      </c>
      <c r="G137" s="329" t="s">
        <v>117</v>
      </c>
      <c r="H137" s="85" t="s">
        <v>118</v>
      </c>
      <c r="I137" s="76" t="s">
        <v>378</v>
      </c>
      <c r="J137" s="85" t="s">
        <v>354</v>
      </c>
      <c r="K137" s="79">
        <v>44938</v>
      </c>
      <c r="L137" s="86">
        <v>24000000</v>
      </c>
      <c r="M137" s="334">
        <v>24000000</v>
      </c>
      <c r="N137" s="343">
        <f>1900000+3000000</f>
        <v>4900000</v>
      </c>
      <c r="O137" s="338" t="s">
        <v>379</v>
      </c>
    </row>
    <row r="138" spans="1:15" ht="15" x14ac:dyDescent="0.2">
      <c r="A138" s="78">
        <v>302</v>
      </c>
      <c r="B138" s="76" t="s">
        <v>95</v>
      </c>
      <c r="C138" s="84">
        <v>2021680010176</v>
      </c>
      <c r="D138" s="1" t="s">
        <v>97</v>
      </c>
      <c r="E138" s="76" t="s">
        <v>380</v>
      </c>
      <c r="F138" s="85" t="s">
        <v>381</v>
      </c>
      <c r="G138" s="79" t="s">
        <v>117</v>
      </c>
      <c r="H138" s="85" t="s">
        <v>118</v>
      </c>
      <c r="I138" s="76" t="s">
        <v>382</v>
      </c>
      <c r="J138" s="85" t="s">
        <v>354</v>
      </c>
      <c r="K138" s="79">
        <v>44959</v>
      </c>
      <c r="L138" s="86">
        <v>48000000</v>
      </c>
      <c r="M138" s="334">
        <v>48000000</v>
      </c>
      <c r="N138" s="342">
        <v>5800000</v>
      </c>
      <c r="O138" s="337" t="s">
        <v>383</v>
      </c>
    </row>
    <row r="139" spans="1:15" ht="15" x14ac:dyDescent="0.2">
      <c r="A139" s="78">
        <v>302</v>
      </c>
      <c r="B139" s="76" t="s">
        <v>95</v>
      </c>
      <c r="C139" s="84">
        <v>2021680010176</v>
      </c>
      <c r="D139" s="1" t="s">
        <v>97</v>
      </c>
      <c r="E139" s="76" t="s">
        <v>384</v>
      </c>
      <c r="F139" s="85" t="s">
        <v>385</v>
      </c>
      <c r="G139" s="79" t="s">
        <v>117</v>
      </c>
      <c r="H139" s="85" t="s">
        <v>118</v>
      </c>
      <c r="I139" s="76" t="s">
        <v>386</v>
      </c>
      <c r="J139" s="85" t="s">
        <v>354</v>
      </c>
      <c r="K139" s="79">
        <v>44946</v>
      </c>
      <c r="L139" s="87">
        <v>21000000</v>
      </c>
      <c r="M139" s="336">
        <v>21000000</v>
      </c>
      <c r="N139" s="342">
        <f>1100000+3000000</f>
        <v>4100000</v>
      </c>
      <c r="O139" s="338" t="s">
        <v>387</v>
      </c>
    </row>
    <row r="140" spans="1:15" ht="15" x14ac:dyDescent="0.2">
      <c r="A140" s="78">
        <v>302</v>
      </c>
      <c r="B140" s="76" t="s">
        <v>95</v>
      </c>
      <c r="C140" s="84">
        <v>2021680010176</v>
      </c>
      <c r="D140" s="76" t="s">
        <v>97</v>
      </c>
      <c r="E140" s="76" t="s">
        <v>388</v>
      </c>
      <c r="F140" s="85" t="s">
        <v>389</v>
      </c>
      <c r="G140" s="79" t="s">
        <v>117</v>
      </c>
      <c r="H140" s="85" t="s">
        <v>118</v>
      </c>
      <c r="I140" s="76" t="s">
        <v>390</v>
      </c>
      <c r="J140" s="85" t="s">
        <v>354</v>
      </c>
      <c r="K140" s="79">
        <v>44945</v>
      </c>
      <c r="L140" s="87">
        <v>30400000</v>
      </c>
      <c r="M140" s="336">
        <v>30400000</v>
      </c>
      <c r="N140" s="342">
        <f>1520000+3800000</f>
        <v>5320000</v>
      </c>
      <c r="O140" s="338" t="s">
        <v>391</v>
      </c>
    </row>
    <row r="141" spans="1:15" ht="15" x14ac:dyDescent="0.2">
      <c r="A141" s="78">
        <v>302</v>
      </c>
      <c r="B141" s="76" t="s">
        <v>95</v>
      </c>
      <c r="C141" s="84">
        <v>2021680010176</v>
      </c>
      <c r="D141" s="76" t="s">
        <v>97</v>
      </c>
      <c r="E141" s="76" t="s">
        <v>392</v>
      </c>
      <c r="F141" s="85" t="s">
        <v>393</v>
      </c>
      <c r="G141" s="79" t="s">
        <v>117</v>
      </c>
      <c r="H141" s="85" t="s">
        <v>118</v>
      </c>
      <c r="I141" s="76" t="s">
        <v>394</v>
      </c>
      <c r="J141" s="85" t="s">
        <v>354</v>
      </c>
      <c r="K141" s="79">
        <v>44945</v>
      </c>
      <c r="L141" s="87">
        <v>16000000</v>
      </c>
      <c r="M141" s="336">
        <v>16000000</v>
      </c>
      <c r="N141" s="342">
        <f>1280000+3200000</f>
        <v>4480000</v>
      </c>
      <c r="O141" s="338" t="s">
        <v>395</v>
      </c>
    </row>
    <row r="142" spans="1:15" ht="15" x14ac:dyDescent="0.2">
      <c r="A142" s="78">
        <v>302</v>
      </c>
      <c r="B142" s="76" t="s">
        <v>95</v>
      </c>
      <c r="C142" s="84">
        <v>2021680010176</v>
      </c>
      <c r="D142" s="76" t="s">
        <v>97</v>
      </c>
      <c r="E142" s="76" t="s">
        <v>396</v>
      </c>
      <c r="F142" s="85" t="s">
        <v>397</v>
      </c>
      <c r="G142" s="79" t="s">
        <v>117</v>
      </c>
      <c r="H142" s="85" t="s">
        <v>118</v>
      </c>
      <c r="I142" s="76" t="s">
        <v>398</v>
      </c>
      <c r="J142" s="85" t="s">
        <v>354</v>
      </c>
      <c r="K142" s="79">
        <v>44946</v>
      </c>
      <c r="L142" s="87">
        <v>13200000</v>
      </c>
      <c r="M142" s="336">
        <v>13200000</v>
      </c>
      <c r="N142" s="342">
        <f>1210000+3300000</f>
        <v>4510000</v>
      </c>
      <c r="O142" s="338" t="s">
        <v>363</v>
      </c>
    </row>
    <row r="143" spans="1:15" ht="15" x14ac:dyDescent="0.2">
      <c r="A143" s="78">
        <v>302</v>
      </c>
      <c r="B143" s="76" t="s">
        <v>95</v>
      </c>
      <c r="C143" s="84">
        <v>2021680010176</v>
      </c>
      <c r="D143" s="76" t="s">
        <v>97</v>
      </c>
      <c r="E143" s="76" t="s">
        <v>399</v>
      </c>
      <c r="F143" s="85" t="s">
        <v>400</v>
      </c>
      <c r="G143" s="79" t="s">
        <v>117</v>
      </c>
      <c r="H143" s="85" t="s">
        <v>118</v>
      </c>
      <c r="I143" s="76" t="s">
        <v>401</v>
      </c>
      <c r="J143" s="85" t="s">
        <v>354</v>
      </c>
      <c r="K143" s="79">
        <v>44944</v>
      </c>
      <c r="L143" s="87">
        <v>14800000</v>
      </c>
      <c r="M143" s="336">
        <v>14800000</v>
      </c>
      <c r="N143" s="342">
        <f>1603333+3700000</f>
        <v>5303333</v>
      </c>
      <c r="O143" s="338" t="s">
        <v>402</v>
      </c>
    </row>
    <row r="144" spans="1:15" ht="15" x14ac:dyDescent="0.2">
      <c r="A144" s="78">
        <v>302</v>
      </c>
      <c r="B144" s="76" t="s">
        <v>95</v>
      </c>
      <c r="C144" s="84">
        <v>2021680010176</v>
      </c>
      <c r="D144" s="76" t="s">
        <v>97</v>
      </c>
      <c r="E144" s="76" t="s">
        <v>403</v>
      </c>
      <c r="F144" s="85" t="s">
        <v>404</v>
      </c>
      <c r="G144" s="79" t="s">
        <v>117</v>
      </c>
      <c r="H144" s="85" t="s">
        <v>118</v>
      </c>
      <c r="I144" s="76" t="s">
        <v>405</v>
      </c>
      <c r="J144" s="85" t="s">
        <v>354</v>
      </c>
      <c r="K144" s="79">
        <v>44957</v>
      </c>
      <c r="L144" s="87">
        <v>19200000</v>
      </c>
      <c r="M144" s="336">
        <v>19200000</v>
      </c>
      <c r="N144" s="342">
        <v>3200000</v>
      </c>
      <c r="O144" s="338" t="s">
        <v>406</v>
      </c>
    </row>
    <row r="145" spans="1:15" ht="15" x14ac:dyDescent="0.2">
      <c r="A145" s="78">
        <v>302</v>
      </c>
      <c r="B145" s="76" t="s">
        <v>95</v>
      </c>
      <c r="C145" s="84">
        <v>2021680010176</v>
      </c>
      <c r="D145" s="76" t="s">
        <v>97</v>
      </c>
      <c r="E145" s="76" t="s">
        <v>407</v>
      </c>
      <c r="F145" s="85" t="s">
        <v>408</v>
      </c>
      <c r="G145" s="79" t="s">
        <v>117</v>
      </c>
      <c r="H145" s="85" t="s">
        <v>118</v>
      </c>
      <c r="I145" s="76" t="s">
        <v>409</v>
      </c>
      <c r="J145" s="85" t="s">
        <v>354</v>
      </c>
      <c r="K145" s="79">
        <v>44950</v>
      </c>
      <c r="L145" s="87">
        <v>14550000</v>
      </c>
      <c r="M145" s="336">
        <v>14550000</v>
      </c>
      <c r="N145" s="342">
        <f>1050000+4500000</f>
        <v>5550000</v>
      </c>
      <c r="O145" s="338" t="s">
        <v>410</v>
      </c>
    </row>
    <row r="146" spans="1:15" ht="15" x14ac:dyDescent="0.2">
      <c r="A146" s="78">
        <v>302</v>
      </c>
      <c r="B146" s="76" t="s">
        <v>95</v>
      </c>
      <c r="C146" s="84">
        <v>2021680010176</v>
      </c>
      <c r="D146" s="76" t="s">
        <v>97</v>
      </c>
      <c r="E146" s="76" t="s">
        <v>411</v>
      </c>
      <c r="F146" s="85" t="s">
        <v>412</v>
      </c>
      <c r="G146" s="79" t="s">
        <v>117</v>
      </c>
      <c r="H146" s="85" t="s">
        <v>118</v>
      </c>
      <c r="I146" s="76" t="s">
        <v>413</v>
      </c>
      <c r="J146" s="85" t="s">
        <v>354</v>
      </c>
      <c r="K146" s="79">
        <v>44943</v>
      </c>
      <c r="L146" s="87">
        <v>29400000</v>
      </c>
      <c r="M146" s="336">
        <v>29400000</v>
      </c>
      <c r="N146" s="342">
        <f>1715000+3675000</f>
        <v>5390000</v>
      </c>
      <c r="O146" s="338" t="s">
        <v>414</v>
      </c>
    </row>
    <row r="147" spans="1:15" ht="15" x14ac:dyDescent="0.2">
      <c r="A147" s="78">
        <v>302</v>
      </c>
      <c r="B147" s="76" t="s">
        <v>95</v>
      </c>
      <c r="C147" s="84">
        <v>2021680010176</v>
      </c>
      <c r="D147" s="76" t="s">
        <v>97</v>
      </c>
      <c r="E147" s="76" t="s">
        <v>415</v>
      </c>
      <c r="F147" s="85" t="s">
        <v>416</v>
      </c>
      <c r="G147" s="79" t="s">
        <v>117</v>
      </c>
      <c r="H147" s="85" t="s">
        <v>118</v>
      </c>
      <c r="I147" s="76" t="s">
        <v>417</v>
      </c>
      <c r="J147" s="85" t="s">
        <v>354</v>
      </c>
      <c r="K147" s="79">
        <v>44964</v>
      </c>
      <c r="L147" s="87">
        <v>19000000</v>
      </c>
      <c r="M147" s="336">
        <v>19000000</v>
      </c>
      <c r="N147" s="342">
        <v>3040000</v>
      </c>
      <c r="O147" s="337" t="s">
        <v>418</v>
      </c>
    </row>
    <row r="148" spans="1:15" ht="15" x14ac:dyDescent="0.2">
      <c r="A148" s="78">
        <v>302</v>
      </c>
      <c r="B148" s="76" t="s">
        <v>95</v>
      </c>
      <c r="C148" s="84">
        <v>2021680010176</v>
      </c>
      <c r="D148" s="76" t="s">
        <v>97</v>
      </c>
      <c r="E148" s="76" t="s">
        <v>419</v>
      </c>
      <c r="F148" s="85" t="s">
        <v>420</v>
      </c>
      <c r="G148" s="79" t="s">
        <v>117</v>
      </c>
      <c r="H148" s="85" t="s">
        <v>118</v>
      </c>
      <c r="I148" s="76" t="s">
        <v>421</v>
      </c>
      <c r="J148" s="85" t="s">
        <v>354</v>
      </c>
      <c r="K148" s="79">
        <v>44938</v>
      </c>
      <c r="L148" s="86">
        <v>40000000</v>
      </c>
      <c r="M148" s="334">
        <v>40000000</v>
      </c>
      <c r="N148" s="343">
        <f>3166667+5000000</f>
        <v>8166667</v>
      </c>
      <c r="O148" s="338" t="s">
        <v>422</v>
      </c>
    </row>
    <row r="149" spans="1:15" ht="15" x14ac:dyDescent="0.2">
      <c r="A149" s="78">
        <v>302</v>
      </c>
      <c r="B149" s="76" t="s">
        <v>95</v>
      </c>
      <c r="C149" s="84">
        <v>2021680010176</v>
      </c>
      <c r="D149" s="76" t="s">
        <v>97</v>
      </c>
      <c r="E149" s="76" t="s">
        <v>423</v>
      </c>
      <c r="F149" s="85" t="s">
        <v>181</v>
      </c>
      <c r="G149" s="79" t="s">
        <v>424</v>
      </c>
      <c r="H149" s="85" t="s">
        <v>118</v>
      </c>
      <c r="I149" s="76" t="s">
        <v>425</v>
      </c>
      <c r="J149" s="85" t="s">
        <v>354</v>
      </c>
      <c r="K149" s="79">
        <v>44958</v>
      </c>
      <c r="L149" s="86">
        <v>25980269</v>
      </c>
      <c r="M149" s="334">
        <v>25980269</v>
      </c>
      <c r="N149" s="342">
        <v>0</v>
      </c>
      <c r="O149" s="338"/>
    </row>
    <row r="150" spans="1:15" ht="15" x14ac:dyDescent="0.2">
      <c r="A150" s="78">
        <v>302</v>
      </c>
      <c r="B150" s="76" t="s">
        <v>95</v>
      </c>
      <c r="C150" s="84">
        <v>2021680010176</v>
      </c>
      <c r="D150" s="76" t="s">
        <v>97</v>
      </c>
      <c r="E150" s="76" t="s">
        <v>426</v>
      </c>
      <c r="F150" s="85" t="s">
        <v>427</v>
      </c>
      <c r="G150" s="79" t="s">
        <v>117</v>
      </c>
      <c r="H150" s="85" t="s">
        <v>118</v>
      </c>
      <c r="I150" s="76" t="s">
        <v>428</v>
      </c>
      <c r="J150" s="85" t="s">
        <v>354</v>
      </c>
      <c r="K150" s="79">
        <v>44939</v>
      </c>
      <c r="L150" s="86">
        <v>30400000</v>
      </c>
      <c r="M150" s="334">
        <v>30400000</v>
      </c>
      <c r="N150" s="343">
        <f>2280000+3800000</f>
        <v>6080000</v>
      </c>
      <c r="O150" s="338" t="s">
        <v>429</v>
      </c>
    </row>
    <row r="151" spans="1:15" ht="15" x14ac:dyDescent="0.2">
      <c r="A151" s="78">
        <v>302</v>
      </c>
      <c r="B151" s="76" t="s">
        <v>95</v>
      </c>
      <c r="C151" s="84">
        <v>2021680010176</v>
      </c>
      <c r="D151" s="76" t="s">
        <v>97</v>
      </c>
      <c r="E151" s="76" t="s">
        <v>430</v>
      </c>
      <c r="F151" s="85" t="s">
        <v>431</v>
      </c>
      <c r="G151" s="79" t="s">
        <v>117</v>
      </c>
      <c r="H151" s="85" t="s">
        <v>118</v>
      </c>
      <c r="I151" s="76" t="s">
        <v>432</v>
      </c>
      <c r="J151" s="85" t="s">
        <v>354</v>
      </c>
      <c r="K151" s="79">
        <v>44942</v>
      </c>
      <c r="L151" s="86">
        <v>27000000</v>
      </c>
      <c r="M151" s="334">
        <v>27000000</v>
      </c>
      <c r="N151" s="343">
        <f>2100000+4500000</f>
        <v>6600000</v>
      </c>
      <c r="O151" s="338" t="s">
        <v>433</v>
      </c>
    </row>
    <row r="152" spans="1:15" ht="15" x14ac:dyDescent="0.2">
      <c r="A152" s="78">
        <v>302</v>
      </c>
      <c r="B152" s="76" t="s">
        <v>95</v>
      </c>
      <c r="C152" s="84">
        <v>2021680010176</v>
      </c>
      <c r="D152" s="76" t="s">
        <v>97</v>
      </c>
      <c r="E152" s="76" t="s">
        <v>434</v>
      </c>
      <c r="F152" s="85" t="s">
        <v>435</v>
      </c>
      <c r="G152" s="79" t="s">
        <v>117</v>
      </c>
      <c r="H152" s="85" t="s">
        <v>118</v>
      </c>
      <c r="I152" s="76" t="s">
        <v>436</v>
      </c>
      <c r="J152" s="85" t="s">
        <v>354</v>
      </c>
      <c r="K152" s="79">
        <v>44957</v>
      </c>
      <c r="L152" s="87">
        <v>16000000</v>
      </c>
      <c r="M152" s="336">
        <v>16000000</v>
      </c>
      <c r="N152" s="342">
        <v>4266666</v>
      </c>
      <c r="O152" s="338" t="s">
        <v>437</v>
      </c>
    </row>
    <row r="153" spans="1:15" ht="15" x14ac:dyDescent="0.2">
      <c r="A153" s="78">
        <v>302</v>
      </c>
      <c r="B153" s="76" t="s">
        <v>95</v>
      </c>
      <c r="C153" s="84">
        <v>2021680010176</v>
      </c>
      <c r="D153" s="76" t="s">
        <v>97</v>
      </c>
      <c r="E153" s="76" t="s">
        <v>434</v>
      </c>
      <c r="F153" s="85" t="s">
        <v>438</v>
      </c>
      <c r="G153" s="79" t="s">
        <v>117</v>
      </c>
      <c r="H153" s="85" t="s">
        <v>118</v>
      </c>
      <c r="I153" s="76" t="s">
        <v>436</v>
      </c>
      <c r="J153" s="85" t="s">
        <v>354</v>
      </c>
      <c r="K153" s="79">
        <v>44972</v>
      </c>
      <c r="L153" s="86">
        <v>4333333</v>
      </c>
      <c r="M153" s="334">
        <v>4333333</v>
      </c>
      <c r="N153" s="342">
        <v>0</v>
      </c>
      <c r="O153" s="1"/>
    </row>
    <row r="156" spans="1:15" x14ac:dyDescent="0.2">
      <c r="L156" s="331"/>
    </row>
  </sheetData>
  <autoFilter ref="A1:O153" xr:uid="{550309FF-873E-4284-AA8A-F8D8BD42141E}"/>
  <hyperlinks>
    <hyperlink ref="O79" r:id="rId1" xr:uid="{012F8B70-CB21-4868-957A-9F484F66D213}"/>
    <hyperlink ref="O83" r:id="rId2" xr:uid="{5B28E61E-131A-4B31-821D-DB8888E2A17E}"/>
    <hyperlink ref="O89" r:id="rId3" xr:uid="{47C551AB-D515-41DB-9B8B-4EAEB7260606}"/>
    <hyperlink ref="O80" r:id="rId4" xr:uid="{48998E99-E528-4D21-9EE9-5326E5ADF03E}"/>
    <hyperlink ref="O84" r:id="rId5" xr:uid="{F5B59C5F-198E-4CA3-98D6-A6078FB705D7}"/>
    <hyperlink ref="O90" r:id="rId6" xr:uid="{0C09CD46-E960-4D25-A090-BA8B342598C0}"/>
    <hyperlink ref="O29" r:id="rId7" xr:uid="{04A0B3D9-9718-4318-9187-9F07D7912260}"/>
    <hyperlink ref="O42" r:id="rId8" xr:uid="{5B354562-A207-46BF-8924-5C8C48102C17}"/>
    <hyperlink ref="O48" r:id="rId9" xr:uid="{CA67EFED-181E-40AE-AAE8-F01B7C21E49F}"/>
    <hyperlink ref="O66" r:id="rId10" xr:uid="{FA43AF3D-735A-4DAE-9E31-A9396E9033F2}"/>
    <hyperlink ref="O31" r:id="rId11" xr:uid="{08127A3D-D619-4C78-B275-11EDFB3F1772}"/>
    <hyperlink ref="O39" r:id="rId12" xr:uid="{32E534E7-DCF9-4AD1-96B4-45001B616665}"/>
    <hyperlink ref="O148" r:id="rId13" xr:uid="{5A72E42F-A8B4-4ABD-B04C-8E8999FDA7C2}"/>
    <hyperlink ref="O134" r:id="rId14" xr:uid="{23F8B4BB-9A8C-4E8D-80AD-0EDB12615014}"/>
    <hyperlink ref="O140" r:id="rId15" xr:uid="{C81DEBCF-7C16-4A05-832F-07639D87C190}"/>
    <hyperlink ref="O131" r:id="rId16" xr:uid="{FEE11286-57B9-4A1E-BB0C-2F7CAC1264C9}"/>
    <hyperlink ref="O141" r:id="rId17" xr:uid="{EAA2F6CD-AC2A-46A8-A274-8CB7351AD6F0}"/>
    <hyperlink ref="O139" r:id="rId18" xr:uid="{C080B07D-C885-4C44-B56C-D45D03E50D30}"/>
    <hyperlink ref="O132" r:id="rId19" xr:uid="{F1B08F87-9F95-44BE-BA31-C11F1B40B49D}"/>
    <hyperlink ref="O142" r:id="rId20" xr:uid="{D38941C2-21D8-4D98-A62B-2ABA02689210}"/>
    <hyperlink ref="O145" r:id="rId21" xr:uid="{33ADC1D9-0E7A-4D1C-B2EA-AD4FA55D7A7F}"/>
    <hyperlink ref="O152" r:id="rId22" xr:uid="{A117CE3F-EF24-4D25-8B58-C32D3FE33302}"/>
    <hyperlink ref="O144" r:id="rId23" xr:uid="{41FED671-279E-439D-BA41-C3F03DAAF51B}"/>
    <hyperlink ref="O130" r:id="rId24" xr:uid="{4A81D826-8A0F-48F8-B08B-0A097923EE02}"/>
    <hyperlink ref="O138" r:id="rId25" xr:uid="{DF0E1626-9838-477D-844C-43EE183BADF8}"/>
    <hyperlink ref="O147" r:id="rId26" xr:uid="{DE5BF0FC-9EB7-4235-848B-3780723FF509}"/>
  </hyperlinks>
  <pageMargins left="0.7" right="0.7" top="0.75" bottom="0.75" header="0.3" footer="0.3"/>
  <pageSetup paperSize="345" scale="40" orientation="landscape" r:id="rId2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BF70F-A4DE-4173-9BC5-BC04944C8126}">
  <dimension ref="A1:AA86"/>
  <sheetViews>
    <sheetView showGridLines="0" topLeftCell="A67" workbookViewId="0">
      <selection activeCell="P86" sqref="P86"/>
    </sheetView>
  </sheetViews>
  <sheetFormatPr baseColWidth="10" defaultRowHeight="15" x14ac:dyDescent="0.25"/>
  <cols>
    <col min="1" max="1" width="15.140625" bestFit="1" customWidth="1"/>
    <col min="2" max="2" width="23.5703125" bestFit="1" customWidth="1"/>
    <col min="3" max="3" width="14.7109375" bestFit="1" customWidth="1"/>
    <col min="4" max="4" width="45.7109375" bestFit="1" customWidth="1"/>
    <col min="5" max="5" width="8.85546875" hidden="1" customWidth="1"/>
    <col min="6" max="6" width="16.5703125" hidden="1" customWidth="1"/>
    <col min="7" max="7" width="8.7109375" hidden="1" customWidth="1"/>
    <col min="8" max="8" width="13" hidden="1" customWidth="1"/>
    <col min="9" max="9" width="15" hidden="1" customWidth="1"/>
    <col min="10" max="10" width="11.140625" hidden="1" customWidth="1"/>
    <col min="11" max="11" width="12.140625" hidden="1" customWidth="1"/>
    <col min="12" max="12" width="13" hidden="1" customWidth="1"/>
    <col min="13" max="13" width="19.42578125" bestFit="1" customWidth="1"/>
    <col min="14" max="14" width="15.7109375" hidden="1" customWidth="1"/>
    <col min="15" max="15" width="15.85546875" hidden="1" customWidth="1"/>
    <col min="16" max="16" width="23.5703125" customWidth="1"/>
    <col min="17" max="17" width="17.85546875" hidden="1" customWidth="1"/>
    <col min="18" max="18" width="15.85546875" hidden="1" customWidth="1"/>
    <col min="19" max="19" width="23.140625" hidden="1" customWidth="1"/>
    <col min="20" max="20" width="26.42578125" hidden="1" customWidth="1"/>
    <col min="21" max="21" width="19.42578125" customWidth="1"/>
    <col min="22" max="22" width="20.42578125" hidden="1" customWidth="1"/>
    <col min="23" max="23" width="18.5703125" customWidth="1"/>
    <col min="24" max="24" width="16.85546875" hidden="1" customWidth="1"/>
    <col min="25" max="25" width="17.140625" hidden="1" customWidth="1"/>
    <col min="26" max="26" width="14.140625" hidden="1" customWidth="1"/>
    <col min="27" max="27" width="15.85546875" hidden="1" customWidth="1"/>
  </cols>
  <sheetData>
    <row r="1" spans="1:27" x14ac:dyDescent="0.25">
      <c r="A1" s="418" t="s">
        <v>506</v>
      </c>
      <c r="B1" s="418"/>
      <c r="C1" s="418"/>
      <c r="D1" s="418"/>
      <c r="E1" s="418"/>
      <c r="F1" s="418"/>
      <c r="G1" s="418"/>
      <c r="H1" s="418"/>
      <c r="I1" s="418"/>
      <c r="J1" s="418"/>
      <c r="K1" s="418"/>
      <c r="L1" s="418"/>
      <c r="M1" s="418"/>
      <c r="N1" s="418"/>
      <c r="O1" s="418"/>
      <c r="P1" s="418"/>
      <c r="Q1" s="418"/>
      <c r="R1" s="418"/>
      <c r="S1" s="418"/>
      <c r="T1" s="418"/>
      <c r="U1" s="418"/>
      <c r="V1" s="418"/>
      <c r="W1" s="418"/>
      <c r="X1" s="418"/>
      <c r="Y1" s="418"/>
      <c r="Z1" s="418"/>
      <c r="AA1" s="418"/>
    </row>
    <row r="2" spans="1:27" x14ac:dyDescent="0.25">
      <c r="A2" s="417" t="s">
        <v>507</v>
      </c>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row>
    <row r="3" spans="1:27" x14ac:dyDescent="0.25">
      <c r="A3" s="417" t="s">
        <v>508</v>
      </c>
      <c r="B3" s="417"/>
      <c r="C3" s="417"/>
      <c r="D3" s="417"/>
      <c r="E3" s="417"/>
      <c r="F3" s="417"/>
      <c r="G3" s="417"/>
      <c r="H3" s="417"/>
      <c r="I3" s="417"/>
      <c r="J3" s="417"/>
      <c r="K3" s="417"/>
      <c r="L3" s="417"/>
      <c r="M3" s="417"/>
      <c r="N3" s="417"/>
      <c r="O3" s="417"/>
      <c r="P3" s="417"/>
      <c r="Q3" s="417"/>
      <c r="R3" s="417"/>
      <c r="S3" s="417"/>
      <c r="T3" s="417"/>
      <c r="U3" s="417"/>
      <c r="V3" s="417"/>
      <c r="W3" s="417"/>
      <c r="X3" s="417"/>
      <c r="Y3" s="417"/>
      <c r="Z3" s="417"/>
      <c r="AA3" s="417"/>
    </row>
    <row r="4" spans="1:27" x14ac:dyDescent="0.25">
      <c r="A4" s="417" t="s">
        <v>904</v>
      </c>
      <c r="B4" s="417"/>
      <c r="C4" s="417"/>
      <c r="D4" s="417"/>
      <c r="E4" s="417"/>
      <c r="F4" s="417"/>
      <c r="G4" s="417"/>
      <c r="H4" s="417"/>
      <c r="I4" s="417"/>
      <c r="J4" s="417"/>
      <c r="K4" s="417"/>
      <c r="L4" s="417"/>
      <c r="M4" s="417"/>
      <c r="N4" s="417"/>
      <c r="O4" s="417"/>
      <c r="P4" s="417"/>
      <c r="Q4" s="417"/>
      <c r="R4" s="417"/>
      <c r="S4" s="417"/>
      <c r="T4" s="417"/>
      <c r="U4" s="417"/>
      <c r="V4" s="417"/>
      <c r="W4" s="417"/>
      <c r="X4" s="417"/>
      <c r="Y4" s="417"/>
      <c r="Z4" s="417"/>
      <c r="AA4" s="417"/>
    </row>
    <row r="5" spans="1:27" x14ac:dyDescent="0.25">
      <c r="A5" s="417" t="s">
        <v>905</v>
      </c>
      <c r="B5" s="417"/>
      <c r="C5" s="417"/>
      <c r="D5" s="417"/>
      <c r="E5" s="417"/>
      <c r="F5" s="417"/>
      <c r="G5" s="417"/>
      <c r="H5" s="417"/>
      <c r="I5" s="417"/>
      <c r="J5" s="417"/>
      <c r="K5" s="417"/>
      <c r="L5" s="417"/>
      <c r="M5" s="417"/>
      <c r="N5" s="417"/>
      <c r="O5" s="417"/>
      <c r="P5" s="417"/>
      <c r="Q5" s="417"/>
      <c r="R5" s="417"/>
      <c r="S5" s="417"/>
      <c r="T5" s="417"/>
      <c r="U5" s="417"/>
      <c r="V5" s="417"/>
      <c r="W5" s="417"/>
      <c r="X5" s="417"/>
      <c r="Y5" s="417"/>
      <c r="Z5" s="417"/>
      <c r="AA5" s="417"/>
    </row>
    <row r="6" spans="1:27" x14ac:dyDescent="0.25">
      <c r="A6" s="417" t="s">
        <v>906</v>
      </c>
      <c r="B6" s="417"/>
      <c r="C6" s="417"/>
      <c r="D6" s="417"/>
      <c r="E6" s="417"/>
      <c r="F6" s="417"/>
      <c r="G6" s="417"/>
      <c r="H6" s="417"/>
      <c r="I6" s="417"/>
      <c r="J6" s="417"/>
      <c r="K6" s="417"/>
      <c r="L6" s="417"/>
      <c r="M6" s="417"/>
      <c r="N6" s="417"/>
      <c r="O6" s="417"/>
      <c r="P6" s="417"/>
      <c r="Q6" s="417"/>
      <c r="R6" s="417"/>
      <c r="S6" s="417"/>
      <c r="T6" s="417"/>
      <c r="U6" s="417"/>
      <c r="V6" s="417"/>
      <c r="W6" s="417"/>
      <c r="X6" s="417"/>
      <c r="Y6" s="417"/>
      <c r="Z6" s="417"/>
      <c r="AA6" s="417"/>
    </row>
    <row r="7" spans="1:27" ht="21" customHeight="1" x14ac:dyDescent="0.25">
      <c r="A7" s="345" t="s">
        <v>512</v>
      </c>
      <c r="B7" s="345" t="s">
        <v>513</v>
      </c>
      <c r="C7" s="345" t="s">
        <v>514</v>
      </c>
      <c r="D7" s="345" t="s">
        <v>515</v>
      </c>
      <c r="E7" s="345" t="s">
        <v>516</v>
      </c>
      <c r="F7" s="345" t="s">
        <v>517</v>
      </c>
      <c r="G7" s="345" t="s">
        <v>518</v>
      </c>
      <c r="H7" s="345" t="s">
        <v>519</v>
      </c>
      <c r="I7" s="345" t="s">
        <v>520</v>
      </c>
      <c r="J7" s="345" t="s">
        <v>521</v>
      </c>
      <c r="K7" s="345" t="s">
        <v>522</v>
      </c>
      <c r="L7" s="345" t="s">
        <v>523</v>
      </c>
      <c r="M7" s="345" t="s">
        <v>524</v>
      </c>
      <c r="N7" s="345" t="s">
        <v>525</v>
      </c>
      <c r="O7" s="345" t="s">
        <v>526</v>
      </c>
      <c r="P7" s="345" t="s">
        <v>527</v>
      </c>
      <c r="Q7" s="345" t="s">
        <v>528</v>
      </c>
      <c r="R7" s="345" t="s">
        <v>529</v>
      </c>
      <c r="S7" s="345" t="s">
        <v>530</v>
      </c>
      <c r="T7" s="345" t="s">
        <v>531</v>
      </c>
      <c r="U7" s="345" t="s">
        <v>532</v>
      </c>
      <c r="V7" s="345" t="s">
        <v>533</v>
      </c>
      <c r="W7" s="345" t="s">
        <v>534</v>
      </c>
      <c r="X7" s="345" t="s">
        <v>535</v>
      </c>
      <c r="Y7" s="345" t="s">
        <v>536</v>
      </c>
      <c r="Z7" s="345" t="s">
        <v>537</v>
      </c>
      <c r="AA7" s="345" t="s">
        <v>538</v>
      </c>
    </row>
    <row r="8" spans="1:27" s="352" customFormat="1" ht="16.5" customHeight="1" x14ac:dyDescent="0.25">
      <c r="A8" s="349" t="s">
        <v>539</v>
      </c>
      <c r="B8" s="349" t="s">
        <v>540</v>
      </c>
      <c r="C8" s="349" t="s">
        <v>541</v>
      </c>
      <c r="D8" s="349" t="s">
        <v>542</v>
      </c>
      <c r="E8" s="349" t="s">
        <v>539</v>
      </c>
      <c r="F8" s="350">
        <v>6974000000</v>
      </c>
      <c r="G8" s="351">
        <v>0</v>
      </c>
      <c r="H8" s="351">
        <v>0</v>
      </c>
      <c r="I8" s="351">
        <v>0</v>
      </c>
      <c r="J8" s="351">
        <v>0</v>
      </c>
      <c r="K8" s="350">
        <v>5656761</v>
      </c>
      <c r="L8" s="350">
        <v>5656761</v>
      </c>
      <c r="M8" s="350">
        <v>6974000000</v>
      </c>
      <c r="N8" s="351">
        <v>0</v>
      </c>
      <c r="O8" s="350">
        <v>4007643264</v>
      </c>
      <c r="P8" s="350">
        <v>4007643264</v>
      </c>
      <c r="Q8" s="351">
        <v>0</v>
      </c>
      <c r="R8" s="350">
        <v>2966356736</v>
      </c>
      <c r="S8" s="351">
        <v>0</v>
      </c>
      <c r="T8" s="350">
        <v>3956120132</v>
      </c>
      <c r="U8" s="350">
        <v>3956120132</v>
      </c>
      <c r="V8" s="350">
        <v>3017879868</v>
      </c>
      <c r="W8" s="350">
        <v>715289851.99000001</v>
      </c>
      <c r="X8" s="351">
        <v>0</v>
      </c>
      <c r="Y8" s="350">
        <v>694519751.99000001</v>
      </c>
      <c r="Z8" s="350">
        <v>694519751.99000001</v>
      </c>
      <c r="AA8" s="350">
        <v>3261600380.0100002</v>
      </c>
    </row>
    <row r="9" spans="1:27" s="356" customFormat="1" ht="16.5" customHeight="1" x14ac:dyDescent="0.25">
      <c r="A9" s="353" t="s">
        <v>539</v>
      </c>
      <c r="B9" s="353" t="s">
        <v>543</v>
      </c>
      <c r="C9" s="353" t="s">
        <v>541</v>
      </c>
      <c r="D9" s="353" t="s">
        <v>544</v>
      </c>
      <c r="E9" s="353" t="s">
        <v>539</v>
      </c>
      <c r="F9" s="354">
        <v>2609081949</v>
      </c>
      <c r="G9" s="355">
        <v>0</v>
      </c>
      <c r="H9" s="355">
        <v>0</v>
      </c>
      <c r="I9" s="355">
        <v>0</v>
      </c>
      <c r="J9" s="355">
        <v>0</v>
      </c>
      <c r="K9" s="354">
        <v>5656761</v>
      </c>
      <c r="L9" s="354">
        <v>5656761</v>
      </c>
      <c r="M9" s="354">
        <v>2609081949</v>
      </c>
      <c r="N9" s="355">
        <v>0</v>
      </c>
      <c r="O9" s="354">
        <v>893189276</v>
      </c>
      <c r="P9" s="354">
        <v>893189276</v>
      </c>
      <c r="Q9" s="355">
        <v>0</v>
      </c>
      <c r="R9" s="354">
        <v>1715892673</v>
      </c>
      <c r="S9" s="355">
        <v>0</v>
      </c>
      <c r="T9" s="354">
        <v>880516144</v>
      </c>
      <c r="U9" s="354">
        <v>880516144</v>
      </c>
      <c r="V9" s="354">
        <v>1728565805</v>
      </c>
      <c r="W9" s="354">
        <v>339428897.99000001</v>
      </c>
      <c r="X9" s="355">
        <v>0</v>
      </c>
      <c r="Y9" s="354">
        <v>318658797.99000001</v>
      </c>
      <c r="Z9" s="354">
        <v>318658797.99000001</v>
      </c>
      <c r="AA9" s="354">
        <v>561857346.00999999</v>
      </c>
    </row>
    <row r="10" spans="1:27" ht="16.5" customHeight="1" x14ac:dyDescent="0.25">
      <c r="A10" s="346" t="s">
        <v>539</v>
      </c>
      <c r="B10" s="346" t="s">
        <v>545</v>
      </c>
      <c r="C10" s="346" t="s">
        <v>541</v>
      </c>
      <c r="D10" s="346" t="s">
        <v>546</v>
      </c>
      <c r="E10" s="346" t="s">
        <v>539</v>
      </c>
      <c r="F10" s="347">
        <v>1587025756</v>
      </c>
      <c r="G10" s="348">
        <v>0</v>
      </c>
      <c r="H10" s="348">
        <v>0</v>
      </c>
      <c r="I10" s="348">
        <v>0</v>
      </c>
      <c r="J10" s="348">
        <v>0</v>
      </c>
      <c r="K10" s="348">
        <v>0</v>
      </c>
      <c r="L10" s="348">
        <v>0</v>
      </c>
      <c r="M10" s="347">
        <v>1587025756</v>
      </c>
      <c r="N10" s="348">
        <v>0</v>
      </c>
      <c r="O10" s="347">
        <v>263795112</v>
      </c>
      <c r="P10" s="347">
        <v>263795112</v>
      </c>
      <c r="Q10" s="348">
        <v>0</v>
      </c>
      <c r="R10" s="347">
        <v>1323230644</v>
      </c>
      <c r="S10" s="348">
        <v>0</v>
      </c>
      <c r="T10" s="347">
        <v>263795112</v>
      </c>
      <c r="U10" s="347">
        <v>263795112</v>
      </c>
      <c r="V10" s="347">
        <v>1323230644</v>
      </c>
      <c r="W10" s="347">
        <v>263789112</v>
      </c>
      <c r="X10" s="348">
        <v>0</v>
      </c>
      <c r="Y10" s="347">
        <v>243019012</v>
      </c>
      <c r="Z10" s="347">
        <v>243019012</v>
      </c>
      <c r="AA10" s="347">
        <v>20776100</v>
      </c>
    </row>
    <row r="11" spans="1:27" ht="16.5" hidden="1" customHeight="1" x14ac:dyDescent="0.25">
      <c r="A11" s="346" t="s">
        <v>539</v>
      </c>
      <c r="B11" s="346" t="s">
        <v>547</v>
      </c>
      <c r="C11" s="346" t="s">
        <v>541</v>
      </c>
      <c r="D11" s="346" t="s">
        <v>548</v>
      </c>
      <c r="E11" s="346" t="s">
        <v>539</v>
      </c>
      <c r="F11" s="347">
        <v>1587025756</v>
      </c>
      <c r="G11" s="348">
        <v>0</v>
      </c>
      <c r="H11" s="348">
        <v>0</v>
      </c>
      <c r="I11" s="348">
        <v>0</v>
      </c>
      <c r="J11" s="348">
        <v>0</v>
      </c>
      <c r="K11" s="348">
        <v>0</v>
      </c>
      <c r="L11" s="348">
        <v>0</v>
      </c>
      <c r="M11" s="347">
        <v>1587025756</v>
      </c>
      <c r="N11" s="348">
        <v>0</v>
      </c>
      <c r="O11" s="347">
        <v>263795112</v>
      </c>
      <c r="P11" s="347">
        <v>263795112</v>
      </c>
      <c r="Q11" s="348">
        <v>0</v>
      </c>
      <c r="R11" s="347">
        <v>1323230644</v>
      </c>
      <c r="S11" s="348">
        <v>0</v>
      </c>
      <c r="T11" s="347">
        <v>263795112</v>
      </c>
      <c r="U11" s="347">
        <v>263795112</v>
      </c>
      <c r="V11" s="347">
        <v>1323230644</v>
      </c>
      <c r="W11" s="347">
        <v>263789112</v>
      </c>
      <c r="X11" s="348">
        <v>0</v>
      </c>
      <c r="Y11" s="347">
        <v>243019012</v>
      </c>
      <c r="Z11" s="347">
        <v>243019012</v>
      </c>
      <c r="AA11" s="347">
        <v>20776100</v>
      </c>
    </row>
    <row r="12" spans="1:27" ht="16.5" hidden="1" customHeight="1" x14ac:dyDescent="0.25">
      <c r="A12" s="346" t="s">
        <v>539</v>
      </c>
      <c r="B12" s="346" t="s">
        <v>549</v>
      </c>
      <c r="C12" s="346" t="s">
        <v>541</v>
      </c>
      <c r="D12" s="346" t="s">
        <v>550</v>
      </c>
      <c r="E12" s="346" t="s">
        <v>539</v>
      </c>
      <c r="F12" s="347">
        <v>1107587483</v>
      </c>
      <c r="G12" s="348">
        <v>0</v>
      </c>
      <c r="H12" s="348">
        <v>0</v>
      </c>
      <c r="I12" s="348">
        <v>0</v>
      </c>
      <c r="J12" s="348">
        <v>0</v>
      </c>
      <c r="K12" s="348">
        <v>0</v>
      </c>
      <c r="L12" s="348">
        <v>0</v>
      </c>
      <c r="M12" s="347">
        <v>1107587483</v>
      </c>
      <c r="N12" s="348">
        <v>0</v>
      </c>
      <c r="O12" s="347">
        <v>202506173</v>
      </c>
      <c r="P12" s="347">
        <v>202506173</v>
      </c>
      <c r="Q12" s="348">
        <v>0</v>
      </c>
      <c r="R12" s="347">
        <v>905081310</v>
      </c>
      <c r="S12" s="348">
        <v>0</v>
      </c>
      <c r="T12" s="347">
        <v>202506173</v>
      </c>
      <c r="U12" s="347">
        <v>202506173</v>
      </c>
      <c r="V12" s="347">
        <v>905081310</v>
      </c>
      <c r="W12" s="347">
        <v>202506173</v>
      </c>
      <c r="X12" s="348">
        <v>0</v>
      </c>
      <c r="Y12" s="347">
        <v>202506173</v>
      </c>
      <c r="Z12" s="347">
        <v>202506173</v>
      </c>
      <c r="AA12" s="348">
        <v>0</v>
      </c>
    </row>
    <row r="13" spans="1:27" ht="16.5" hidden="1" customHeight="1" x14ac:dyDescent="0.25">
      <c r="A13" s="346" t="s">
        <v>539</v>
      </c>
      <c r="B13" s="346" t="s">
        <v>551</v>
      </c>
      <c r="C13" s="346" t="s">
        <v>541</v>
      </c>
      <c r="D13" s="346" t="s">
        <v>552</v>
      </c>
      <c r="E13" s="346" t="s">
        <v>539</v>
      </c>
      <c r="F13" s="347">
        <v>1107587483</v>
      </c>
      <c r="G13" s="348">
        <v>0</v>
      </c>
      <c r="H13" s="348">
        <v>0</v>
      </c>
      <c r="I13" s="348">
        <v>0</v>
      </c>
      <c r="J13" s="348">
        <v>0</v>
      </c>
      <c r="K13" s="348">
        <v>0</v>
      </c>
      <c r="L13" s="348">
        <v>0</v>
      </c>
      <c r="M13" s="347">
        <v>1107587483</v>
      </c>
      <c r="N13" s="348">
        <v>0</v>
      </c>
      <c r="O13" s="347">
        <v>202506173</v>
      </c>
      <c r="P13" s="347">
        <v>202506173</v>
      </c>
      <c r="Q13" s="348">
        <v>0</v>
      </c>
      <c r="R13" s="347">
        <v>905081310</v>
      </c>
      <c r="S13" s="348">
        <v>0</v>
      </c>
      <c r="T13" s="347">
        <v>202506173</v>
      </c>
      <c r="U13" s="347">
        <v>202506173</v>
      </c>
      <c r="V13" s="347">
        <v>905081310</v>
      </c>
      <c r="W13" s="347">
        <v>202506173</v>
      </c>
      <c r="X13" s="348">
        <v>0</v>
      </c>
      <c r="Y13" s="347">
        <v>202506173</v>
      </c>
      <c r="Z13" s="347">
        <v>202506173</v>
      </c>
      <c r="AA13" s="348">
        <v>0</v>
      </c>
    </row>
    <row r="14" spans="1:27" ht="16.5" hidden="1" customHeight="1" x14ac:dyDescent="0.25">
      <c r="A14" s="346" t="s">
        <v>737</v>
      </c>
      <c r="B14" s="346" t="s">
        <v>554</v>
      </c>
      <c r="C14" s="346" t="s">
        <v>541</v>
      </c>
      <c r="D14" s="346" t="s">
        <v>555</v>
      </c>
      <c r="E14" s="346" t="s">
        <v>556</v>
      </c>
      <c r="F14" s="347">
        <v>880317528</v>
      </c>
      <c r="G14" s="348">
        <v>0</v>
      </c>
      <c r="H14" s="348">
        <v>0</v>
      </c>
      <c r="I14" s="348">
        <v>0</v>
      </c>
      <c r="J14" s="348">
        <v>0</v>
      </c>
      <c r="K14" s="348">
        <v>0</v>
      </c>
      <c r="L14" s="348">
        <v>0</v>
      </c>
      <c r="M14" s="347">
        <v>880317528</v>
      </c>
      <c r="N14" s="348">
        <v>0</v>
      </c>
      <c r="O14" s="347">
        <v>199638100</v>
      </c>
      <c r="P14" s="347">
        <v>199638100</v>
      </c>
      <c r="Q14" s="348">
        <v>0</v>
      </c>
      <c r="R14" s="347">
        <v>680679428</v>
      </c>
      <c r="S14" s="348">
        <v>0</v>
      </c>
      <c r="T14" s="347">
        <v>199638100</v>
      </c>
      <c r="U14" s="347">
        <v>199638100</v>
      </c>
      <c r="V14" s="347">
        <v>680679428</v>
      </c>
      <c r="W14" s="347">
        <v>199638100</v>
      </c>
      <c r="X14" s="348">
        <v>0</v>
      </c>
      <c r="Y14" s="347">
        <v>199638100</v>
      </c>
      <c r="Z14" s="347">
        <v>199638100</v>
      </c>
      <c r="AA14" s="348">
        <v>0</v>
      </c>
    </row>
    <row r="15" spans="1:27" ht="16.5" hidden="1" customHeight="1" x14ac:dyDescent="0.25">
      <c r="A15" s="346" t="s">
        <v>738</v>
      </c>
      <c r="B15" s="346" t="s">
        <v>558</v>
      </c>
      <c r="C15" s="346" t="s">
        <v>541</v>
      </c>
      <c r="D15" s="346" t="s">
        <v>559</v>
      </c>
      <c r="E15" s="346" t="s">
        <v>556</v>
      </c>
      <c r="F15" s="347">
        <v>75499453</v>
      </c>
      <c r="G15" s="348">
        <v>0</v>
      </c>
      <c r="H15" s="348">
        <v>0</v>
      </c>
      <c r="I15" s="348">
        <v>0</v>
      </c>
      <c r="J15" s="348">
        <v>0</v>
      </c>
      <c r="K15" s="348">
        <v>0</v>
      </c>
      <c r="L15" s="348">
        <v>0</v>
      </c>
      <c r="M15" s="347">
        <v>75499453</v>
      </c>
      <c r="N15" s="348">
        <v>0</v>
      </c>
      <c r="O15" s="348">
        <v>0</v>
      </c>
      <c r="P15" s="348">
        <v>0</v>
      </c>
      <c r="Q15" s="348">
        <v>0</v>
      </c>
      <c r="R15" s="347">
        <v>75499453</v>
      </c>
      <c r="S15" s="348">
        <v>0</v>
      </c>
      <c r="T15" s="348">
        <v>0</v>
      </c>
      <c r="U15" s="348">
        <v>0</v>
      </c>
      <c r="V15" s="347">
        <v>75499453</v>
      </c>
      <c r="W15" s="348">
        <v>0</v>
      </c>
      <c r="X15" s="348">
        <v>0</v>
      </c>
      <c r="Y15" s="348">
        <v>0</v>
      </c>
      <c r="Z15" s="348">
        <v>0</v>
      </c>
      <c r="AA15" s="348">
        <v>0</v>
      </c>
    </row>
    <row r="16" spans="1:27" ht="16.5" hidden="1" customHeight="1" x14ac:dyDescent="0.25">
      <c r="A16" s="346" t="s">
        <v>739</v>
      </c>
      <c r="B16" s="346" t="s">
        <v>561</v>
      </c>
      <c r="C16" s="346" t="s">
        <v>541</v>
      </c>
      <c r="D16" s="346" t="s">
        <v>562</v>
      </c>
      <c r="E16" s="346" t="s">
        <v>556</v>
      </c>
      <c r="F16" s="347">
        <v>25675926</v>
      </c>
      <c r="G16" s="348">
        <v>0</v>
      </c>
      <c r="H16" s="348">
        <v>0</v>
      </c>
      <c r="I16" s="348">
        <v>0</v>
      </c>
      <c r="J16" s="348">
        <v>0</v>
      </c>
      <c r="K16" s="348">
        <v>0</v>
      </c>
      <c r="L16" s="348">
        <v>0</v>
      </c>
      <c r="M16" s="347">
        <v>25675926</v>
      </c>
      <c r="N16" s="348">
        <v>0</v>
      </c>
      <c r="O16" s="347">
        <v>2836509</v>
      </c>
      <c r="P16" s="347">
        <v>2836509</v>
      </c>
      <c r="Q16" s="348">
        <v>0</v>
      </c>
      <c r="R16" s="347">
        <v>22839417</v>
      </c>
      <c r="S16" s="348">
        <v>0</v>
      </c>
      <c r="T16" s="347">
        <v>2836509</v>
      </c>
      <c r="U16" s="347">
        <v>2836509</v>
      </c>
      <c r="V16" s="347">
        <v>22839417</v>
      </c>
      <c r="W16" s="347">
        <v>2836509</v>
      </c>
      <c r="X16" s="348">
        <v>0</v>
      </c>
      <c r="Y16" s="347">
        <v>2836509</v>
      </c>
      <c r="Z16" s="347">
        <v>2836509</v>
      </c>
      <c r="AA16" s="348">
        <v>0</v>
      </c>
    </row>
    <row r="17" spans="1:27" ht="16.5" hidden="1" customHeight="1" x14ac:dyDescent="0.25">
      <c r="A17" s="346" t="s">
        <v>539</v>
      </c>
      <c r="B17" s="346" t="s">
        <v>563</v>
      </c>
      <c r="C17" s="346" t="s">
        <v>541</v>
      </c>
      <c r="D17" s="346" t="s">
        <v>564</v>
      </c>
      <c r="E17" s="346" t="s">
        <v>539</v>
      </c>
      <c r="F17" s="347">
        <v>126094576</v>
      </c>
      <c r="G17" s="348">
        <v>0</v>
      </c>
      <c r="H17" s="348">
        <v>0</v>
      </c>
      <c r="I17" s="348">
        <v>0</v>
      </c>
      <c r="J17" s="348">
        <v>0</v>
      </c>
      <c r="K17" s="348">
        <v>0</v>
      </c>
      <c r="L17" s="348">
        <v>0</v>
      </c>
      <c r="M17" s="347">
        <v>126094576</v>
      </c>
      <c r="N17" s="348">
        <v>0</v>
      </c>
      <c r="O17" s="347">
        <v>31564</v>
      </c>
      <c r="P17" s="347">
        <v>31564</v>
      </c>
      <c r="Q17" s="348">
        <v>0</v>
      </c>
      <c r="R17" s="347">
        <v>126063012</v>
      </c>
      <c r="S17" s="348">
        <v>0</v>
      </c>
      <c r="T17" s="347">
        <v>31564</v>
      </c>
      <c r="U17" s="347">
        <v>31564</v>
      </c>
      <c r="V17" s="347">
        <v>126063012</v>
      </c>
      <c r="W17" s="347">
        <v>31564</v>
      </c>
      <c r="X17" s="348">
        <v>0</v>
      </c>
      <c r="Y17" s="347">
        <v>31564</v>
      </c>
      <c r="Z17" s="347">
        <v>31564</v>
      </c>
      <c r="AA17" s="348">
        <v>0</v>
      </c>
    </row>
    <row r="18" spans="1:27" ht="16.5" hidden="1" customHeight="1" x14ac:dyDescent="0.25">
      <c r="A18" s="346" t="s">
        <v>740</v>
      </c>
      <c r="B18" s="346" t="s">
        <v>566</v>
      </c>
      <c r="C18" s="346" t="s">
        <v>541</v>
      </c>
      <c r="D18" s="346" t="s">
        <v>567</v>
      </c>
      <c r="E18" s="346" t="s">
        <v>556</v>
      </c>
      <c r="F18" s="347">
        <v>85199034</v>
      </c>
      <c r="G18" s="348">
        <v>0</v>
      </c>
      <c r="H18" s="348">
        <v>0</v>
      </c>
      <c r="I18" s="348">
        <v>0</v>
      </c>
      <c r="J18" s="348">
        <v>0</v>
      </c>
      <c r="K18" s="348">
        <v>0</v>
      </c>
      <c r="L18" s="348">
        <v>0</v>
      </c>
      <c r="M18" s="347">
        <v>85199034</v>
      </c>
      <c r="N18" s="348">
        <v>0</v>
      </c>
      <c r="O18" s="347">
        <v>31564</v>
      </c>
      <c r="P18" s="347">
        <v>31564</v>
      </c>
      <c r="Q18" s="348">
        <v>0</v>
      </c>
      <c r="R18" s="347">
        <v>85167470</v>
      </c>
      <c r="S18" s="348">
        <v>0</v>
      </c>
      <c r="T18" s="347">
        <v>31564</v>
      </c>
      <c r="U18" s="347">
        <v>31564</v>
      </c>
      <c r="V18" s="347">
        <v>85167470</v>
      </c>
      <c r="W18" s="347">
        <v>31564</v>
      </c>
      <c r="X18" s="348">
        <v>0</v>
      </c>
      <c r="Y18" s="347">
        <v>31564</v>
      </c>
      <c r="Z18" s="347">
        <v>31564</v>
      </c>
      <c r="AA18" s="348">
        <v>0</v>
      </c>
    </row>
    <row r="19" spans="1:27" ht="16.5" hidden="1" customHeight="1" x14ac:dyDescent="0.25">
      <c r="A19" s="346" t="s">
        <v>741</v>
      </c>
      <c r="B19" s="346" t="s">
        <v>573</v>
      </c>
      <c r="C19" s="346" t="s">
        <v>541</v>
      </c>
      <c r="D19" s="346" t="s">
        <v>574</v>
      </c>
      <c r="E19" s="346" t="s">
        <v>556</v>
      </c>
      <c r="F19" s="347">
        <v>40895542</v>
      </c>
      <c r="G19" s="348">
        <v>0</v>
      </c>
      <c r="H19" s="348">
        <v>0</v>
      </c>
      <c r="I19" s="348">
        <v>0</v>
      </c>
      <c r="J19" s="348">
        <v>0</v>
      </c>
      <c r="K19" s="348">
        <v>0</v>
      </c>
      <c r="L19" s="348">
        <v>0</v>
      </c>
      <c r="M19" s="347">
        <v>40895542</v>
      </c>
      <c r="N19" s="348">
        <v>0</v>
      </c>
      <c r="O19" s="348">
        <v>0</v>
      </c>
      <c r="P19" s="348">
        <v>0</v>
      </c>
      <c r="Q19" s="348">
        <v>0</v>
      </c>
      <c r="R19" s="347">
        <v>40895542</v>
      </c>
      <c r="S19" s="348">
        <v>0</v>
      </c>
      <c r="T19" s="348">
        <v>0</v>
      </c>
      <c r="U19" s="348">
        <v>0</v>
      </c>
      <c r="V19" s="347">
        <v>40895542</v>
      </c>
      <c r="W19" s="348">
        <v>0</v>
      </c>
      <c r="X19" s="348">
        <v>0</v>
      </c>
      <c r="Y19" s="348">
        <v>0</v>
      </c>
      <c r="Z19" s="348">
        <v>0</v>
      </c>
      <c r="AA19" s="348">
        <v>0</v>
      </c>
    </row>
    <row r="20" spans="1:27" ht="16.5" hidden="1" customHeight="1" x14ac:dyDescent="0.25">
      <c r="A20" s="346" t="s">
        <v>539</v>
      </c>
      <c r="B20" s="346" t="s">
        <v>578</v>
      </c>
      <c r="C20" s="346" t="s">
        <v>541</v>
      </c>
      <c r="D20" s="346" t="s">
        <v>579</v>
      </c>
      <c r="E20" s="346" t="s">
        <v>539</v>
      </c>
      <c r="F20" s="347">
        <v>391841130</v>
      </c>
      <c r="G20" s="348">
        <v>0</v>
      </c>
      <c r="H20" s="348">
        <v>0</v>
      </c>
      <c r="I20" s="348">
        <v>0</v>
      </c>
      <c r="J20" s="348">
        <v>0</v>
      </c>
      <c r="K20" s="348">
        <v>0</v>
      </c>
      <c r="L20" s="348">
        <v>0</v>
      </c>
      <c r="M20" s="347">
        <v>391841130</v>
      </c>
      <c r="N20" s="348">
        <v>0</v>
      </c>
      <c r="O20" s="347">
        <v>61288939</v>
      </c>
      <c r="P20" s="347">
        <v>61288939</v>
      </c>
      <c r="Q20" s="348">
        <v>0</v>
      </c>
      <c r="R20" s="347">
        <v>330552191</v>
      </c>
      <c r="S20" s="348">
        <v>0</v>
      </c>
      <c r="T20" s="347">
        <v>61288939</v>
      </c>
      <c r="U20" s="347">
        <v>61288939</v>
      </c>
      <c r="V20" s="347">
        <v>330552191</v>
      </c>
      <c r="W20" s="347">
        <v>61282939</v>
      </c>
      <c r="X20" s="348">
        <v>0</v>
      </c>
      <c r="Y20" s="347">
        <v>40512839</v>
      </c>
      <c r="Z20" s="347">
        <v>40512839</v>
      </c>
      <c r="AA20" s="347">
        <v>20776100</v>
      </c>
    </row>
    <row r="21" spans="1:27" ht="16.5" hidden="1" customHeight="1" x14ac:dyDescent="0.25">
      <c r="A21" s="346" t="s">
        <v>742</v>
      </c>
      <c r="B21" s="346" t="s">
        <v>581</v>
      </c>
      <c r="C21" s="346" t="s">
        <v>541</v>
      </c>
      <c r="D21" s="346" t="s">
        <v>582</v>
      </c>
      <c r="E21" s="346" t="s">
        <v>556</v>
      </c>
      <c r="F21" s="347">
        <v>108719214</v>
      </c>
      <c r="G21" s="348">
        <v>0</v>
      </c>
      <c r="H21" s="348">
        <v>0</v>
      </c>
      <c r="I21" s="348">
        <v>0</v>
      </c>
      <c r="J21" s="348">
        <v>0</v>
      </c>
      <c r="K21" s="348">
        <v>0</v>
      </c>
      <c r="L21" s="348">
        <v>0</v>
      </c>
      <c r="M21" s="347">
        <v>108719214</v>
      </c>
      <c r="N21" s="348">
        <v>0</v>
      </c>
      <c r="O21" s="347">
        <v>24402100</v>
      </c>
      <c r="P21" s="347">
        <v>24402100</v>
      </c>
      <c r="Q21" s="348">
        <v>0</v>
      </c>
      <c r="R21" s="347">
        <v>84317114</v>
      </c>
      <c r="S21" s="348">
        <v>0</v>
      </c>
      <c r="T21" s="347">
        <v>24402100</v>
      </c>
      <c r="U21" s="347">
        <v>24402100</v>
      </c>
      <c r="V21" s="347">
        <v>84317114</v>
      </c>
      <c r="W21" s="347">
        <v>24402100</v>
      </c>
      <c r="X21" s="348">
        <v>0</v>
      </c>
      <c r="Y21" s="347">
        <v>16058900</v>
      </c>
      <c r="Z21" s="347">
        <v>16058900</v>
      </c>
      <c r="AA21" s="347">
        <v>8343200</v>
      </c>
    </row>
    <row r="22" spans="1:27" ht="16.5" hidden="1" customHeight="1" x14ac:dyDescent="0.25">
      <c r="A22" s="346" t="s">
        <v>743</v>
      </c>
      <c r="B22" s="346" t="s">
        <v>584</v>
      </c>
      <c r="C22" s="346" t="s">
        <v>541</v>
      </c>
      <c r="D22" s="346" t="s">
        <v>585</v>
      </c>
      <c r="E22" s="346" t="s">
        <v>556</v>
      </c>
      <c r="F22" s="347">
        <v>77009444</v>
      </c>
      <c r="G22" s="348">
        <v>0</v>
      </c>
      <c r="H22" s="348">
        <v>0</v>
      </c>
      <c r="I22" s="348">
        <v>0</v>
      </c>
      <c r="J22" s="348">
        <v>0</v>
      </c>
      <c r="K22" s="348">
        <v>0</v>
      </c>
      <c r="L22" s="348">
        <v>0</v>
      </c>
      <c r="M22" s="347">
        <v>77009444</v>
      </c>
      <c r="N22" s="348">
        <v>0</v>
      </c>
      <c r="O22" s="347">
        <v>17289300</v>
      </c>
      <c r="P22" s="347">
        <v>17289300</v>
      </c>
      <c r="Q22" s="348">
        <v>0</v>
      </c>
      <c r="R22" s="347">
        <v>59720144</v>
      </c>
      <c r="S22" s="348">
        <v>0</v>
      </c>
      <c r="T22" s="347">
        <v>17289300</v>
      </c>
      <c r="U22" s="347">
        <v>17289300</v>
      </c>
      <c r="V22" s="347">
        <v>59720144</v>
      </c>
      <c r="W22" s="347">
        <v>17289300</v>
      </c>
      <c r="X22" s="348">
        <v>0</v>
      </c>
      <c r="Y22" s="347">
        <v>11379600</v>
      </c>
      <c r="Z22" s="347">
        <v>11379600</v>
      </c>
      <c r="AA22" s="347">
        <v>5909700</v>
      </c>
    </row>
    <row r="23" spans="1:27" ht="16.5" hidden="1" customHeight="1" x14ac:dyDescent="0.25">
      <c r="A23" s="346" t="s">
        <v>744</v>
      </c>
      <c r="B23" s="346" t="s">
        <v>587</v>
      </c>
      <c r="C23" s="346" t="s">
        <v>541</v>
      </c>
      <c r="D23" s="346" t="s">
        <v>588</v>
      </c>
      <c r="E23" s="346" t="s">
        <v>556</v>
      </c>
      <c r="F23" s="347">
        <v>103374829</v>
      </c>
      <c r="G23" s="348">
        <v>0</v>
      </c>
      <c r="H23" s="348">
        <v>0</v>
      </c>
      <c r="I23" s="348">
        <v>0</v>
      </c>
      <c r="J23" s="348">
        <v>0</v>
      </c>
      <c r="K23" s="348">
        <v>0</v>
      </c>
      <c r="L23" s="348">
        <v>0</v>
      </c>
      <c r="M23" s="347">
        <v>103374829</v>
      </c>
      <c r="N23" s="348">
        <v>0</v>
      </c>
      <c r="O23" s="347">
        <v>44939</v>
      </c>
      <c r="P23" s="347">
        <v>44939</v>
      </c>
      <c r="Q23" s="348">
        <v>0</v>
      </c>
      <c r="R23" s="347">
        <v>103329890</v>
      </c>
      <c r="S23" s="348">
        <v>0</v>
      </c>
      <c r="T23" s="347">
        <v>44939</v>
      </c>
      <c r="U23" s="347">
        <v>44939</v>
      </c>
      <c r="V23" s="347">
        <v>103329890</v>
      </c>
      <c r="W23" s="347">
        <v>44939</v>
      </c>
      <c r="X23" s="348">
        <v>0</v>
      </c>
      <c r="Y23" s="347">
        <v>44939</v>
      </c>
      <c r="Z23" s="347">
        <v>44939</v>
      </c>
      <c r="AA23" s="348">
        <v>0</v>
      </c>
    </row>
    <row r="24" spans="1:27" ht="16.5" hidden="1" customHeight="1" x14ac:dyDescent="0.25">
      <c r="A24" s="346" t="s">
        <v>745</v>
      </c>
      <c r="B24" s="346" t="s">
        <v>590</v>
      </c>
      <c r="C24" s="346" t="s">
        <v>541</v>
      </c>
      <c r="D24" s="346" t="s">
        <v>591</v>
      </c>
      <c r="E24" s="346" t="s">
        <v>556</v>
      </c>
      <c r="F24" s="347">
        <v>43403798</v>
      </c>
      <c r="G24" s="348">
        <v>0</v>
      </c>
      <c r="H24" s="348">
        <v>0</v>
      </c>
      <c r="I24" s="348">
        <v>0</v>
      </c>
      <c r="J24" s="348">
        <v>0</v>
      </c>
      <c r="K24" s="348">
        <v>0</v>
      </c>
      <c r="L24" s="348">
        <v>0</v>
      </c>
      <c r="M24" s="347">
        <v>43403798</v>
      </c>
      <c r="N24" s="348">
        <v>0</v>
      </c>
      <c r="O24" s="347">
        <v>8215900</v>
      </c>
      <c r="P24" s="347">
        <v>8215900</v>
      </c>
      <c r="Q24" s="348">
        <v>0</v>
      </c>
      <c r="R24" s="347">
        <v>35187898</v>
      </c>
      <c r="S24" s="348">
        <v>0</v>
      </c>
      <c r="T24" s="347">
        <v>8215900</v>
      </c>
      <c r="U24" s="347">
        <v>8215900</v>
      </c>
      <c r="V24" s="347">
        <v>35187898</v>
      </c>
      <c r="W24" s="347">
        <v>8215900</v>
      </c>
      <c r="X24" s="348">
        <v>0</v>
      </c>
      <c r="Y24" s="347">
        <v>5478600</v>
      </c>
      <c r="Z24" s="347">
        <v>5478600</v>
      </c>
      <c r="AA24" s="347">
        <v>2737300</v>
      </c>
    </row>
    <row r="25" spans="1:27" ht="16.5" hidden="1" customHeight="1" x14ac:dyDescent="0.25">
      <c r="A25" s="346" t="s">
        <v>746</v>
      </c>
      <c r="B25" s="346" t="s">
        <v>593</v>
      </c>
      <c r="C25" s="346" t="s">
        <v>541</v>
      </c>
      <c r="D25" s="346" t="s">
        <v>594</v>
      </c>
      <c r="E25" s="346" t="s">
        <v>556</v>
      </c>
      <c r="F25" s="347">
        <v>5079098</v>
      </c>
      <c r="G25" s="348">
        <v>0</v>
      </c>
      <c r="H25" s="348">
        <v>0</v>
      </c>
      <c r="I25" s="348">
        <v>0</v>
      </c>
      <c r="J25" s="348">
        <v>0</v>
      </c>
      <c r="K25" s="348">
        <v>0</v>
      </c>
      <c r="L25" s="348">
        <v>0</v>
      </c>
      <c r="M25" s="347">
        <v>5079098</v>
      </c>
      <c r="N25" s="348">
        <v>0</v>
      </c>
      <c r="O25" s="347">
        <v>1064800</v>
      </c>
      <c r="P25" s="347">
        <v>1064800</v>
      </c>
      <c r="Q25" s="348">
        <v>0</v>
      </c>
      <c r="R25" s="347">
        <v>4014298</v>
      </c>
      <c r="S25" s="348">
        <v>0</v>
      </c>
      <c r="T25" s="347">
        <v>1064800</v>
      </c>
      <c r="U25" s="347">
        <v>1064800</v>
      </c>
      <c r="V25" s="347">
        <v>4014298</v>
      </c>
      <c r="W25" s="347">
        <v>1058800</v>
      </c>
      <c r="X25" s="348">
        <v>0</v>
      </c>
      <c r="Y25" s="347">
        <v>701100</v>
      </c>
      <c r="Z25" s="347">
        <v>701100</v>
      </c>
      <c r="AA25" s="347">
        <v>363700</v>
      </c>
    </row>
    <row r="26" spans="1:27" ht="16.5" hidden="1" customHeight="1" x14ac:dyDescent="0.25">
      <c r="A26" s="346" t="s">
        <v>747</v>
      </c>
      <c r="B26" s="346" t="s">
        <v>596</v>
      </c>
      <c r="C26" s="346" t="s">
        <v>541</v>
      </c>
      <c r="D26" s="346" t="s">
        <v>597</v>
      </c>
      <c r="E26" s="346" t="s">
        <v>556</v>
      </c>
      <c r="F26" s="347">
        <v>32552848</v>
      </c>
      <c r="G26" s="348">
        <v>0</v>
      </c>
      <c r="H26" s="348">
        <v>0</v>
      </c>
      <c r="I26" s="348">
        <v>0</v>
      </c>
      <c r="J26" s="348">
        <v>0</v>
      </c>
      <c r="K26" s="348">
        <v>0</v>
      </c>
      <c r="L26" s="348">
        <v>0</v>
      </c>
      <c r="M26" s="347">
        <v>32552848</v>
      </c>
      <c r="N26" s="348">
        <v>0</v>
      </c>
      <c r="O26" s="347">
        <v>6162900</v>
      </c>
      <c r="P26" s="347">
        <v>6162900</v>
      </c>
      <c r="Q26" s="348">
        <v>0</v>
      </c>
      <c r="R26" s="347">
        <v>26389948</v>
      </c>
      <c r="S26" s="348">
        <v>0</v>
      </c>
      <c r="T26" s="347">
        <v>6162900</v>
      </c>
      <c r="U26" s="347">
        <v>6162900</v>
      </c>
      <c r="V26" s="347">
        <v>26389948</v>
      </c>
      <c r="W26" s="347">
        <v>6162900</v>
      </c>
      <c r="X26" s="348">
        <v>0</v>
      </c>
      <c r="Y26" s="347">
        <v>4109700</v>
      </c>
      <c r="Z26" s="347">
        <v>4109700</v>
      </c>
      <c r="AA26" s="347">
        <v>2053200</v>
      </c>
    </row>
    <row r="27" spans="1:27" ht="16.5" hidden="1" customHeight="1" x14ac:dyDescent="0.25">
      <c r="A27" s="346" t="s">
        <v>748</v>
      </c>
      <c r="B27" s="346" t="s">
        <v>599</v>
      </c>
      <c r="C27" s="346" t="s">
        <v>541</v>
      </c>
      <c r="D27" s="346" t="s">
        <v>600</v>
      </c>
      <c r="E27" s="346" t="s">
        <v>556</v>
      </c>
      <c r="F27" s="347">
        <v>21701899</v>
      </c>
      <c r="G27" s="348">
        <v>0</v>
      </c>
      <c r="H27" s="348">
        <v>0</v>
      </c>
      <c r="I27" s="348">
        <v>0</v>
      </c>
      <c r="J27" s="348">
        <v>0</v>
      </c>
      <c r="K27" s="348">
        <v>0</v>
      </c>
      <c r="L27" s="348">
        <v>0</v>
      </c>
      <c r="M27" s="347">
        <v>21701899</v>
      </c>
      <c r="N27" s="348">
        <v>0</v>
      </c>
      <c r="O27" s="347">
        <v>4109000</v>
      </c>
      <c r="P27" s="347">
        <v>4109000</v>
      </c>
      <c r="Q27" s="348">
        <v>0</v>
      </c>
      <c r="R27" s="347">
        <v>17592899</v>
      </c>
      <c r="S27" s="348">
        <v>0</v>
      </c>
      <c r="T27" s="347">
        <v>4109000</v>
      </c>
      <c r="U27" s="347">
        <v>4109000</v>
      </c>
      <c r="V27" s="347">
        <v>17592899</v>
      </c>
      <c r="W27" s="347">
        <v>4109000</v>
      </c>
      <c r="X27" s="348">
        <v>0</v>
      </c>
      <c r="Y27" s="347">
        <v>2740000</v>
      </c>
      <c r="Z27" s="347">
        <v>2740000</v>
      </c>
      <c r="AA27" s="347">
        <v>1369000</v>
      </c>
    </row>
    <row r="28" spans="1:27" ht="16.5" hidden="1" customHeight="1" x14ac:dyDescent="0.25">
      <c r="A28" s="346" t="s">
        <v>539</v>
      </c>
      <c r="B28" s="346" t="s">
        <v>601</v>
      </c>
      <c r="C28" s="346" t="s">
        <v>541</v>
      </c>
      <c r="D28" s="346" t="s">
        <v>602</v>
      </c>
      <c r="E28" s="346" t="s">
        <v>539</v>
      </c>
      <c r="F28" s="347">
        <v>87597143</v>
      </c>
      <c r="G28" s="348">
        <v>0</v>
      </c>
      <c r="H28" s="348">
        <v>0</v>
      </c>
      <c r="I28" s="348">
        <v>0</v>
      </c>
      <c r="J28" s="348">
        <v>0</v>
      </c>
      <c r="K28" s="348">
        <v>0</v>
      </c>
      <c r="L28" s="348">
        <v>0</v>
      </c>
      <c r="M28" s="347">
        <v>87597143</v>
      </c>
      <c r="N28" s="348">
        <v>0</v>
      </c>
      <c r="O28" s="348">
        <v>0</v>
      </c>
      <c r="P28" s="348">
        <v>0</v>
      </c>
      <c r="Q28" s="348">
        <v>0</v>
      </c>
      <c r="R28" s="347">
        <v>87597143</v>
      </c>
      <c r="S28" s="348">
        <v>0</v>
      </c>
      <c r="T28" s="348">
        <v>0</v>
      </c>
      <c r="U28" s="348">
        <v>0</v>
      </c>
      <c r="V28" s="347">
        <v>87597143</v>
      </c>
      <c r="W28" s="348">
        <v>0</v>
      </c>
      <c r="X28" s="348">
        <v>0</v>
      </c>
      <c r="Y28" s="348">
        <v>0</v>
      </c>
      <c r="Z28" s="348">
        <v>0</v>
      </c>
      <c r="AA28" s="348">
        <v>0</v>
      </c>
    </row>
    <row r="29" spans="1:27" ht="16.5" hidden="1" customHeight="1" x14ac:dyDescent="0.25">
      <c r="A29" s="346" t="s">
        <v>539</v>
      </c>
      <c r="B29" s="346" t="s">
        <v>603</v>
      </c>
      <c r="C29" s="346" t="s">
        <v>541</v>
      </c>
      <c r="D29" s="346" t="s">
        <v>564</v>
      </c>
      <c r="E29" s="346" t="s">
        <v>539</v>
      </c>
      <c r="F29" s="347">
        <v>87597143</v>
      </c>
      <c r="G29" s="348">
        <v>0</v>
      </c>
      <c r="H29" s="348">
        <v>0</v>
      </c>
      <c r="I29" s="348">
        <v>0</v>
      </c>
      <c r="J29" s="348">
        <v>0</v>
      </c>
      <c r="K29" s="348">
        <v>0</v>
      </c>
      <c r="L29" s="348">
        <v>0</v>
      </c>
      <c r="M29" s="347">
        <v>87597143</v>
      </c>
      <c r="N29" s="348">
        <v>0</v>
      </c>
      <c r="O29" s="348">
        <v>0</v>
      </c>
      <c r="P29" s="348">
        <v>0</v>
      </c>
      <c r="Q29" s="348">
        <v>0</v>
      </c>
      <c r="R29" s="347">
        <v>87597143</v>
      </c>
      <c r="S29" s="348">
        <v>0</v>
      </c>
      <c r="T29" s="348">
        <v>0</v>
      </c>
      <c r="U29" s="348">
        <v>0</v>
      </c>
      <c r="V29" s="347">
        <v>87597143</v>
      </c>
      <c r="W29" s="348">
        <v>0</v>
      </c>
      <c r="X29" s="348">
        <v>0</v>
      </c>
      <c r="Y29" s="348">
        <v>0</v>
      </c>
      <c r="Z29" s="348">
        <v>0</v>
      </c>
      <c r="AA29" s="348">
        <v>0</v>
      </c>
    </row>
    <row r="30" spans="1:27" ht="16.5" hidden="1" customHeight="1" x14ac:dyDescent="0.25">
      <c r="A30" s="346" t="s">
        <v>749</v>
      </c>
      <c r="B30" s="346" t="s">
        <v>605</v>
      </c>
      <c r="C30" s="346" t="s">
        <v>541</v>
      </c>
      <c r="D30" s="346" t="s">
        <v>606</v>
      </c>
      <c r="E30" s="346" t="s">
        <v>556</v>
      </c>
      <c r="F30" s="347">
        <v>62706489</v>
      </c>
      <c r="G30" s="348">
        <v>0</v>
      </c>
      <c r="H30" s="348">
        <v>0</v>
      </c>
      <c r="I30" s="348">
        <v>0</v>
      </c>
      <c r="J30" s="348">
        <v>0</v>
      </c>
      <c r="K30" s="348">
        <v>0</v>
      </c>
      <c r="L30" s="348">
        <v>0</v>
      </c>
      <c r="M30" s="347">
        <v>62706489</v>
      </c>
      <c r="N30" s="348">
        <v>0</v>
      </c>
      <c r="O30" s="348">
        <v>0</v>
      </c>
      <c r="P30" s="348">
        <v>0</v>
      </c>
      <c r="Q30" s="348">
        <v>0</v>
      </c>
      <c r="R30" s="347">
        <v>62706489</v>
      </c>
      <c r="S30" s="348">
        <v>0</v>
      </c>
      <c r="T30" s="348">
        <v>0</v>
      </c>
      <c r="U30" s="348">
        <v>0</v>
      </c>
      <c r="V30" s="347">
        <v>62706489</v>
      </c>
      <c r="W30" s="348">
        <v>0</v>
      </c>
      <c r="X30" s="348">
        <v>0</v>
      </c>
      <c r="Y30" s="348">
        <v>0</v>
      </c>
      <c r="Z30" s="348">
        <v>0</v>
      </c>
      <c r="AA30" s="348">
        <v>0</v>
      </c>
    </row>
    <row r="31" spans="1:27" ht="16.5" hidden="1" customHeight="1" x14ac:dyDescent="0.25">
      <c r="A31" s="346" t="s">
        <v>750</v>
      </c>
      <c r="B31" s="346" t="s">
        <v>608</v>
      </c>
      <c r="C31" s="346" t="s">
        <v>541</v>
      </c>
      <c r="D31" s="346" t="s">
        <v>609</v>
      </c>
      <c r="E31" s="346" t="s">
        <v>610</v>
      </c>
      <c r="F31" s="347">
        <v>20000000</v>
      </c>
      <c r="G31" s="348">
        <v>0</v>
      </c>
      <c r="H31" s="348">
        <v>0</v>
      </c>
      <c r="I31" s="348">
        <v>0</v>
      </c>
      <c r="J31" s="348">
        <v>0</v>
      </c>
      <c r="K31" s="348">
        <v>0</v>
      </c>
      <c r="L31" s="348">
        <v>0</v>
      </c>
      <c r="M31" s="347">
        <v>20000000</v>
      </c>
      <c r="N31" s="348">
        <v>0</v>
      </c>
      <c r="O31" s="348">
        <v>0</v>
      </c>
      <c r="P31" s="348">
        <v>0</v>
      </c>
      <c r="Q31" s="348">
        <v>0</v>
      </c>
      <c r="R31" s="347">
        <v>20000000</v>
      </c>
      <c r="S31" s="348">
        <v>0</v>
      </c>
      <c r="T31" s="348">
        <v>0</v>
      </c>
      <c r="U31" s="348">
        <v>0</v>
      </c>
      <c r="V31" s="347">
        <v>20000000</v>
      </c>
      <c r="W31" s="348">
        <v>0</v>
      </c>
      <c r="X31" s="348">
        <v>0</v>
      </c>
      <c r="Y31" s="348">
        <v>0</v>
      </c>
      <c r="Z31" s="348">
        <v>0</v>
      </c>
      <c r="AA31" s="348">
        <v>0</v>
      </c>
    </row>
    <row r="32" spans="1:27" ht="16.5" hidden="1" customHeight="1" x14ac:dyDescent="0.25">
      <c r="A32" s="346" t="s">
        <v>751</v>
      </c>
      <c r="B32" s="346" t="s">
        <v>612</v>
      </c>
      <c r="C32" s="346" t="s">
        <v>541</v>
      </c>
      <c r="D32" s="346" t="s">
        <v>613</v>
      </c>
      <c r="E32" s="346" t="s">
        <v>556</v>
      </c>
      <c r="F32" s="347">
        <v>4890654</v>
      </c>
      <c r="G32" s="348">
        <v>0</v>
      </c>
      <c r="H32" s="348">
        <v>0</v>
      </c>
      <c r="I32" s="348">
        <v>0</v>
      </c>
      <c r="J32" s="348">
        <v>0</v>
      </c>
      <c r="K32" s="348">
        <v>0</v>
      </c>
      <c r="L32" s="348">
        <v>0</v>
      </c>
      <c r="M32" s="347">
        <v>4890654</v>
      </c>
      <c r="N32" s="348">
        <v>0</v>
      </c>
      <c r="O32" s="348">
        <v>0</v>
      </c>
      <c r="P32" s="348">
        <v>0</v>
      </c>
      <c r="Q32" s="348">
        <v>0</v>
      </c>
      <c r="R32" s="347">
        <v>4890654</v>
      </c>
      <c r="S32" s="348">
        <v>0</v>
      </c>
      <c r="T32" s="348">
        <v>0</v>
      </c>
      <c r="U32" s="348">
        <v>0</v>
      </c>
      <c r="V32" s="347">
        <v>4890654</v>
      </c>
      <c r="W32" s="348">
        <v>0</v>
      </c>
      <c r="X32" s="348">
        <v>0</v>
      </c>
      <c r="Y32" s="348">
        <v>0</v>
      </c>
      <c r="Z32" s="348">
        <v>0</v>
      </c>
      <c r="AA32" s="348">
        <v>0</v>
      </c>
    </row>
    <row r="33" spans="1:27" ht="16.5" customHeight="1" x14ac:dyDescent="0.25">
      <c r="A33" s="346" t="s">
        <v>539</v>
      </c>
      <c r="B33" s="346" t="s">
        <v>614</v>
      </c>
      <c r="C33" s="346" t="s">
        <v>541</v>
      </c>
      <c r="D33" s="346" t="s">
        <v>615</v>
      </c>
      <c r="E33" s="346" t="s">
        <v>539</v>
      </c>
      <c r="F33" s="347">
        <v>953512250</v>
      </c>
      <c r="G33" s="348">
        <v>0</v>
      </c>
      <c r="H33" s="348">
        <v>0</v>
      </c>
      <c r="I33" s="348">
        <v>0</v>
      </c>
      <c r="J33" s="348">
        <v>0</v>
      </c>
      <c r="K33" s="347">
        <v>5656761</v>
      </c>
      <c r="L33" s="348">
        <v>0</v>
      </c>
      <c r="M33" s="347">
        <v>959169011</v>
      </c>
      <c r="N33" s="348">
        <v>0</v>
      </c>
      <c r="O33" s="347">
        <v>586778164</v>
      </c>
      <c r="P33" s="347">
        <v>586778164</v>
      </c>
      <c r="Q33" s="348">
        <v>0</v>
      </c>
      <c r="R33" s="347">
        <v>372390847</v>
      </c>
      <c r="S33" s="348">
        <v>0</v>
      </c>
      <c r="T33" s="347">
        <v>574105032</v>
      </c>
      <c r="U33" s="347">
        <v>574105032</v>
      </c>
      <c r="V33" s="347">
        <v>385063979</v>
      </c>
      <c r="W33" s="347">
        <v>64985786</v>
      </c>
      <c r="X33" s="348">
        <v>0</v>
      </c>
      <c r="Y33" s="347">
        <v>64985786</v>
      </c>
      <c r="Z33" s="347">
        <v>64985786</v>
      </c>
      <c r="AA33" s="347">
        <v>509119246</v>
      </c>
    </row>
    <row r="34" spans="1:27" ht="16.5" hidden="1" customHeight="1" x14ac:dyDescent="0.25">
      <c r="A34" s="346" t="s">
        <v>539</v>
      </c>
      <c r="B34" s="346" t="s">
        <v>752</v>
      </c>
      <c r="C34" s="346" t="s">
        <v>541</v>
      </c>
      <c r="D34" s="346" t="s">
        <v>753</v>
      </c>
      <c r="E34" s="346" t="s">
        <v>539</v>
      </c>
      <c r="F34" s="347">
        <v>32500000</v>
      </c>
      <c r="G34" s="348">
        <v>0</v>
      </c>
      <c r="H34" s="348">
        <v>0</v>
      </c>
      <c r="I34" s="348">
        <v>0</v>
      </c>
      <c r="J34" s="348">
        <v>0</v>
      </c>
      <c r="K34" s="348">
        <v>0</v>
      </c>
      <c r="L34" s="348">
        <v>0</v>
      </c>
      <c r="M34" s="347">
        <v>32500000</v>
      </c>
      <c r="N34" s="348">
        <v>0</v>
      </c>
      <c r="O34" s="348">
        <v>0</v>
      </c>
      <c r="P34" s="348">
        <v>0</v>
      </c>
      <c r="Q34" s="348">
        <v>0</v>
      </c>
      <c r="R34" s="347">
        <v>32500000</v>
      </c>
      <c r="S34" s="348">
        <v>0</v>
      </c>
      <c r="T34" s="348">
        <v>0</v>
      </c>
      <c r="U34" s="348">
        <v>0</v>
      </c>
      <c r="V34" s="347">
        <v>32500000</v>
      </c>
      <c r="W34" s="348">
        <v>0</v>
      </c>
      <c r="X34" s="348">
        <v>0</v>
      </c>
      <c r="Y34" s="348">
        <v>0</v>
      </c>
      <c r="Z34" s="348">
        <v>0</v>
      </c>
      <c r="AA34" s="348">
        <v>0</v>
      </c>
    </row>
    <row r="35" spans="1:27" ht="16.5" hidden="1" customHeight="1" x14ac:dyDescent="0.25">
      <c r="A35" s="346" t="s">
        <v>539</v>
      </c>
      <c r="B35" s="346" t="s">
        <v>754</v>
      </c>
      <c r="C35" s="346" t="s">
        <v>541</v>
      </c>
      <c r="D35" s="346" t="s">
        <v>755</v>
      </c>
      <c r="E35" s="346" t="s">
        <v>539</v>
      </c>
      <c r="F35" s="347">
        <v>32500000</v>
      </c>
      <c r="G35" s="348">
        <v>0</v>
      </c>
      <c r="H35" s="348">
        <v>0</v>
      </c>
      <c r="I35" s="348">
        <v>0</v>
      </c>
      <c r="J35" s="348">
        <v>0</v>
      </c>
      <c r="K35" s="348">
        <v>0</v>
      </c>
      <c r="L35" s="348">
        <v>0</v>
      </c>
      <c r="M35" s="347">
        <v>32500000</v>
      </c>
      <c r="N35" s="348">
        <v>0</v>
      </c>
      <c r="O35" s="348">
        <v>0</v>
      </c>
      <c r="P35" s="348">
        <v>0</v>
      </c>
      <c r="Q35" s="348">
        <v>0</v>
      </c>
      <c r="R35" s="347">
        <v>32500000</v>
      </c>
      <c r="S35" s="348">
        <v>0</v>
      </c>
      <c r="T35" s="348">
        <v>0</v>
      </c>
      <c r="U35" s="348">
        <v>0</v>
      </c>
      <c r="V35" s="347">
        <v>32500000</v>
      </c>
      <c r="W35" s="348">
        <v>0</v>
      </c>
      <c r="X35" s="348">
        <v>0</v>
      </c>
      <c r="Y35" s="348">
        <v>0</v>
      </c>
      <c r="Z35" s="348">
        <v>0</v>
      </c>
      <c r="AA35" s="348">
        <v>0</v>
      </c>
    </row>
    <row r="36" spans="1:27" ht="16.5" hidden="1" customHeight="1" x14ac:dyDescent="0.25">
      <c r="A36" s="346" t="s">
        <v>539</v>
      </c>
      <c r="B36" s="346" t="s">
        <v>756</v>
      </c>
      <c r="C36" s="346" t="s">
        <v>541</v>
      </c>
      <c r="D36" s="346" t="s">
        <v>757</v>
      </c>
      <c r="E36" s="346" t="s">
        <v>539</v>
      </c>
      <c r="F36" s="347">
        <v>32500000</v>
      </c>
      <c r="G36" s="348">
        <v>0</v>
      </c>
      <c r="H36" s="348">
        <v>0</v>
      </c>
      <c r="I36" s="348">
        <v>0</v>
      </c>
      <c r="J36" s="348">
        <v>0</v>
      </c>
      <c r="K36" s="348">
        <v>0</v>
      </c>
      <c r="L36" s="348">
        <v>0</v>
      </c>
      <c r="M36" s="347">
        <v>32500000</v>
      </c>
      <c r="N36" s="348">
        <v>0</v>
      </c>
      <c r="O36" s="348">
        <v>0</v>
      </c>
      <c r="P36" s="348">
        <v>0</v>
      </c>
      <c r="Q36" s="348">
        <v>0</v>
      </c>
      <c r="R36" s="347">
        <v>32500000</v>
      </c>
      <c r="S36" s="348">
        <v>0</v>
      </c>
      <c r="T36" s="348">
        <v>0</v>
      </c>
      <c r="U36" s="348">
        <v>0</v>
      </c>
      <c r="V36" s="347">
        <v>32500000</v>
      </c>
      <c r="W36" s="348">
        <v>0</v>
      </c>
      <c r="X36" s="348">
        <v>0</v>
      </c>
      <c r="Y36" s="348">
        <v>0</v>
      </c>
      <c r="Z36" s="348">
        <v>0</v>
      </c>
      <c r="AA36" s="348">
        <v>0</v>
      </c>
    </row>
    <row r="37" spans="1:27" ht="16.5" hidden="1" customHeight="1" x14ac:dyDescent="0.25">
      <c r="A37" s="346" t="s">
        <v>539</v>
      </c>
      <c r="B37" s="346" t="s">
        <v>758</v>
      </c>
      <c r="C37" s="346" t="s">
        <v>541</v>
      </c>
      <c r="D37" s="346" t="s">
        <v>759</v>
      </c>
      <c r="E37" s="346" t="s">
        <v>539</v>
      </c>
      <c r="F37" s="347">
        <v>32500000</v>
      </c>
      <c r="G37" s="348">
        <v>0</v>
      </c>
      <c r="H37" s="348">
        <v>0</v>
      </c>
      <c r="I37" s="348">
        <v>0</v>
      </c>
      <c r="J37" s="348">
        <v>0</v>
      </c>
      <c r="K37" s="348">
        <v>0</v>
      </c>
      <c r="L37" s="348">
        <v>0</v>
      </c>
      <c r="M37" s="347">
        <v>32500000</v>
      </c>
      <c r="N37" s="348">
        <v>0</v>
      </c>
      <c r="O37" s="348">
        <v>0</v>
      </c>
      <c r="P37" s="348">
        <v>0</v>
      </c>
      <c r="Q37" s="348">
        <v>0</v>
      </c>
      <c r="R37" s="347">
        <v>32500000</v>
      </c>
      <c r="S37" s="348">
        <v>0</v>
      </c>
      <c r="T37" s="348">
        <v>0</v>
      </c>
      <c r="U37" s="348">
        <v>0</v>
      </c>
      <c r="V37" s="347">
        <v>32500000</v>
      </c>
      <c r="W37" s="348">
        <v>0</v>
      </c>
      <c r="X37" s="348">
        <v>0</v>
      </c>
      <c r="Y37" s="348">
        <v>0</v>
      </c>
      <c r="Z37" s="348">
        <v>0</v>
      </c>
      <c r="AA37" s="348">
        <v>0</v>
      </c>
    </row>
    <row r="38" spans="1:27" ht="16.5" hidden="1" customHeight="1" x14ac:dyDescent="0.25">
      <c r="A38" s="346" t="s">
        <v>539</v>
      </c>
      <c r="B38" s="346" t="s">
        <v>760</v>
      </c>
      <c r="C38" s="346" t="s">
        <v>541</v>
      </c>
      <c r="D38" s="346" t="s">
        <v>761</v>
      </c>
      <c r="E38" s="346" t="s">
        <v>539</v>
      </c>
      <c r="F38" s="347">
        <v>32500000</v>
      </c>
      <c r="G38" s="348">
        <v>0</v>
      </c>
      <c r="H38" s="348">
        <v>0</v>
      </c>
      <c r="I38" s="348">
        <v>0</v>
      </c>
      <c r="J38" s="348">
        <v>0</v>
      </c>
      <c r="K38" s="348">
        <v>0</v>
      </c>
      <c r="L38" s="348">
        <v>0</v>
      </c>
      <c r="M38" s="347">
        <v>32500000</v>
      </c>
      <c r="N38" s="348">
        <v>0</v>
      </c>
      <c r="O38" s="348">
        <v>0</v>
      </c>
      <c r="P38" s="348">
        <v>0</v>
      </c>
      <c r="Q38" s="348">
        <v>0</v>
      </c>
      <c r="R38" s="347">
        <v>32500000</v>
      </c>
      <c r="S38" s="348">
        <v>0</v>
      </c>
      <c r="T38" s="348">
        <v>0</v>
      </c>
      <c r="U38" s="348">
        <v>0</v>
      </c>
      <c r="V38" s="347">
        <v>32500000</v>
      </c>
      <c r="W38" s="348">
        <v>0</v>
      </c>
      <c r="X38" s="348">
        <v>0</v>
      </c>
      <c r="Y38" s="348">
        <v>0</v>
      </c>
      <c r="Z38" s="348">
        <v>0</v>
      </c>
      <c r="AA38" s="348">
        <v>0</v>
      </c>
    </row>
    <row r="39" spans="1:27" ht="16.5" hidden="1" customHeight="1" x14ac:dyDescent="0.25">
      <c r="A39" s="346" t="s">
        <v>539</v>
      </c>
      <c r="B39" s="346" t="s">
        <v>762</v>
      </c>
      <c r="C39" s="346" t="s">
        <v>541</v>
      </c>
      <c r="D39" s="346" t="s">
        <v>763</v>
      </c>
      <c r="E39" s="346" t="s">
        <v>539</v>
      </c>
      <c r="F39" s="347">
        <v>32500000</v>
      </c>
      <c r="G39" s="348">
        <v>0</v>
      </c>
      <c r="H39" s="348">
        <v>0</v>
      </c>
      <c r="I39" s="348">
        <v>0</v>
      </c>
      <c r="J39" s="348">
        <v>0</v>
      </c>
      <c r="K39" s="348">
        <v>0</v>
      </c>
      <c r="L39" s="348">
        <v>0</v>
      </c>
      <c r="M39" s="347">
        <v>32500000</v>
      </c>
      <c r="N39" s="348">
        <v>0</v>
      </c>
      <c r="O39" s="348">
        <v>0</v>
      </c>
      <c r="P39" s="348">
        <v>0</v>
      </c>
      <c r="Q39" s="348">
        <v>0</v>
      </c>
      <c r="R39" s="347">
        <v>32500000</v>
      </c>
      <c r="S39" s="348">
        <v>0</v>
      </c>
      <c r="T39" s="348">
        <v>0</v>
      </c>
      <c r="U39" s="348">
        <v>0</v>
      </c>
      <c r="V39" s="347">
        <v>32500000</v>
      </c>
      <c r="W39" s="348">
        <v>0</v>
      </c>
      <c r="X39" s="348">
        <v>0</v>
      </c>
      <c r="Y39" s="348">
        <v>0</v>
      </c>
      <c r="Z39" s="348">
        <v>0</v>
      </c>
      <c r="AA39" s="348">
        <v>0</v>
      </c>
    </row>
    <row r="40" spans="1:27" ht="16.5" hidden="1" customHeight="1" x14ac:dyDescent="0.25">
      <c r="A40" s="346" t="s">
        <v>764</v>
      </c>
      <c r="B40" s="346" t="s">
        <v>765</v>
      </c>
      <c r="C40" s="346" t="s">
        <v>541</v>
      </c>
      <c r="D40" s="346" t="s">
        <v>766</v>
      </c>
      <c r="E40" s="346" t="s">
        <v>556</v>
      </c>
      <c r="F40" s="347">
        <v>32500000</v>
      </c>
      <c r="G40" s="348">
        <v>0</v>
      </c>
      <c r="H40" s="348">
        <v>0</v>
      </c>
      <c r="I40" s="348">
        <v>0</v>
      </c>
      <c r="J40" s="348">
        <v>0</v>
      </c>
      <c r="K40" s="348">
        <v>0</v>
      </c>
      <c r="L40" s="348">
        <v>0</v>
      </c>
      <c r="M40" s="347">
        <v>32500000</v>
      </c>
      <c r="N40" s="348">
        <v>0</v>
      </c>
      <c r="O40" s="348">
        <v>0</v>
      </c>
      <c r="P40" s="348">
        <v>0</v>
      </c>
      <c r="Q40" s="348">
        <v>0</v>
      </c>
      <c r="R40" s="347">
        <v>32500000</v>
      </c>
      <c r="S40" s="348">
        <v>0</v>
      </c>
      <c r="T40" s="348">
        <v>0</v>
      </c>
      <c r="U40" s="348">
        <v>0</v>
      </c>
      <c r="V40" s="347">
        <v>32500000</v>
      </c>
      <c r="W40" s="348">
        <v>0</v>
      </c>
      <c r="X40" s="348">
        <v>0</v>
      </c>
      <c r="Y40" s="348">
        <v>0</v>
      </c>
      <c r="Z40" s="348">
        <v>0</v>
      </c>
      <c r="AA40" s="348">
        <v>0</v>
      </c>
    </row>
    <row r="41" spans="1:27" ht="16.5" hidden="1" customHeight="1" x14ac:dyDescent="0.25">
      <c r="A41" s="346" t="s">
        <v>539</v>
      </c>
      <c r="B41" s="346" t="s">
        <v>616</v>
      </c>
      <c r="C41" s="346" t="s">
        <v>541</v>
      </c>
      <c r="D41" s="346" t="s">
        <v>617</v>
      </c>
      <c r="E41" s="346" t="s">
        <v>539</v>
      </c>
      <c r="F41" s="347">
        <v>921012250</v>
      </c>
      <c r="G41" s="348">
        <v>0</v>
      </c>
      <c r="H41" s="348">
        <v>0</v>
      </c>
      <c r="I41" s="348">
        <v>0</v>
      </c>
      <c r="J41" s="348">
        <v>0</v>
      </c>
      <c r="K41" s="347">
        <v>5656761</v>
      </c>
      <c r="L41" s="348">
        <v>0</v>
      </c>
      <c r="M41" s="347">
        <v>926669011</v>
      </c>
      <c r="N41" s="348">
        <v>0</v>
      </c>
      <c r="O41" s="347">
        <v>586778164</v>
      </c>
      <c r="P41" s="347">
        <v>586778164</v>
      </c>
      <c r="Q41" s="348">
        <v>0</v>
      </c>
      <c r="R41" s="347">
        <v>339890847</v>
      </c>
      <c r="S41" s="348">
        <v>0</v>
      </c>
      <c r="T41" s="347">
        <v>574105032</v>
      </c>
      <c r="U41" s="347">
        <v>574105032</v>
      </c>
      <c r="V41" s="347">
        <v>352563979</v>
      </c>
      <c r="W41" s="347">
        <v>64985786</v>
      </c>
      <c r="X41" s="348">
        <v>0</v>
      </c>
      <c r="Y41" s="347">
        <v>64985786</v>
      </c>
      <c r="Z41" s="347">
        <v>64985786</v>
      </c>
      <c r="AA41" s="347">
        <v>509119246</v>
      </c>
    </row>
    <row r="42" spans="1:27" ht="16.5" hidden="1" customHeight="1" x14ac:dyDescent="0.25">
      <c r="A42" s="346" t="s">
        <v>539</v>
      </c>
      <c r="B42" s="346" t="s">
        <v>618</v>
      </c>
      <c r="C42" s="346" t="s">
        <v>541</v>
      </c>
      <c r="D42" s="346" t="s">
        <v>619</v>
      </c>
      <c r="E42" s="346" t="s">
        <v>539</v>
      </c>
      <c r="F42" s="347">
        <v>46032000</v>
      </c>
      <c r="G42" s="348">
        <v>0</v>
      </c>
      <c r="H42" s="348">
        <v>0</v>
      </c>
      <c r="I42" s="348">
        <v>0</v>
      </c>
      <c r="J42" s="348">
        <v>0</v>
      </c>
      <c r="K42" s="348">
        <v>0</v>
      </c>
      <c r="L42" s="348">
        <v>0</v>
      </c>
      <c r="M42" s="347">
        <v>46032000</v>
      </c>
      <c r="N42" s="348">
        <v>0</v>
      </c>
      <c r="O42" s="347">
        <v>16849132</v>
      </c>
      <c r="P42" s="347">
        <v>16849132</v>
      </c>
      <c r="Q42" s="348">
        <v>0</v>
      </c>
      <c r="R42" s="347">
        <v>29182868</v>
      </c>
      <c r="S42" s="348">
        <v>0</v>
      </c>
      <c r="T42" s="347">
        <v>4176000</v>
      </c>
      <c r="U42" s="347">
        <v>4176000</v>
      </c>
      <c r="V42" s="347">
        <v>41856000</v>
      </c>
      <c r="W42" s="347">
        <v>522000</v>
      </c>
      <c r="X42" s="348">
        <v>0</v>
      </c>
      <c r="Y42" s="347">
        <v>522000</v>
      </c>
      <c r="Z42" s="347">
        <v>522000</v>
      </c>
      <c r="AA42" s="347">
        <v>3654000</v>
      </c>
    </row>
    <row r="43" spans="1:27" ht="22.5" hidden="1" x14ac:dyDescent="0.25">
      <c r="A43" s="346" t="s">
        <v>767</v>
      </c>
      <c r="B43" s="346" t="s">
        <v>624</v>
      </c>
      <c r="C43" s="346" t="s">
        <v>541</v>
      </c>
      <c r="D43" s="346" t="s">
        <v>625</v>
      </c>
      <c r="E43" s="346" t="s">
        <v>556</v>
      </c>
      <c r="F43" s="347">
        <v>46032000</v>
      </c>
      <c r="G43" s="348">
        <v>0</v>
      </c>
      <c r="H43" s="348">
        <v>0</v>
      </c>
      <c r="I43" s="348">
        <v>0</v>
      </c>
      <c r="J43" s="348">
        <v>0</v>
      </c>
      <c r="K43" s="348">
        <v>0</v>
      </c>
      <c r="L43" s="348">
        <v>0</v>
      </c>
      <c r="M43" s="347">
        <v>46032000</v>
      </c>
      <c r="N43" s="348">
        <v>0</v>
      </c>
      <c r="O43" s="347">
        <v>16849132</v>
      </c>
      <c r="P43" s="347">
        <v>16849132</v>
      </c>
      <c r="Q43" s="348">
        <v>0</v>
      </c>
      <c r="R43" s="347">
        <v>29182868</v>
      </c>
      <c r="S43" s="348">
        <v>0</v>
      </c>
      <c r="T43" s="347">
        <v>4176000</v>
      </c>
      <c r="U43" s="347">
        <v>4176000</v>
      </c>
      <c r="V43" s="347">
        <v>41856000</v>
      </c>
      <c r="W43" s="347">
        <v>522000</v>
      </c>
      <c r="X43" s="348">
        <v>0</v>
      </c>
      <c r="Y43" s="347">
        <v>522000</v>
      </c>
      <c r="Z43" s="347">
        <v>522000</v>
      </c>
      <c r="AA43" s="347">
        <v>3654000</v>
      </c>
    </row>
    <row r="44" spans="1:27" hidden="1" x14ac:dyDescent="0.25">
      <c r="A44" s="346" t="s">
        <v>539</v>
      </c>
      <c r="B44" s="346" t="s">
        <v>629</v>
      </c>
      <c r="C44" s="346" t="s">
        <v>541</v>
      </c>
      <c r="D44" s="346" t="s">
        <v>630</v>
      </c>
      <c r="E44" s="346" t="s">
        <v>539</v>
      </c>
      <c r="F44" s="347">
        <v>874980250</v>
      </c>
      <c r="G44" s="348">
        <v>0</v>
      </c>
      <c r="H44" s="348">
        <v>0</v>
      </c>
      <c r="I44" s="348">
        <v>0</v>
      </c>
      <c r="J44" s="348">
        <v>0</v>
      </c>
      <c r="K44" s="347">
        <v>5656761</v>
      </c>
      <c r="L44" s="348">
        <v>0</v>
      </c>
      <c r="M44" s="347">
        <v>880637011</v>
      </c>
      <c r="N44" s="348">
        <v>0</v>
      </c>
      <c r="O44" s="347">
        <v>569929032</v>
      </c>
      <c r="P44" s="347">
        <v>569929032</v>
      </c>
      <c r="Q44" s="348">
        <v>0</v>
      </c>
      <c r="R44" s="347">
        <v>310707979</v>
      </c>
      <c r="S44" s="348">
        <v>0</v>
      </c>
      <c r="T44" s="347">
        <v>569929032</v>
      </c>
      <c r="U44" s="347">
        <v>569929032</v>
      </c>
      <c r="V44" s="347">
        <v>310707979</v>
      </c>
      <c r="W44" s="347">
        <v>64463786</v>
      </c>
      <c r="X44" s="348">
        <v>0</v>
      </c>
      <c r="Y44" s="347">
        <v>64463786</v>
      </c>
      <c r="Z44" s="347">
        <v>64463786</v>
      </c>
      <c r="AA44" s="347">
        <v>505465246</v>
      </c>
    </row>
    <row r="45" spans="1:27" ht="33" hidden="1" x14ac:dyDescent="0.25">
      <c r="A45" s="346" t="s">
        <v>539</v>
      </c>
      <c r="B45" s="346" t="s">
        <v>632</v>
      </c>
      <c r="C45" s="346" t="s">
        <v>541</v>
      </c>
      <c r="D45" s="346" t="s">
        <v>633</v>
      </c>
      <c r="E45" s="346" t="s">
        <v>539</v>
      </c>
      <c r="F45" s="347">
        <v>33288000</v>
      </c>
      <c r="G45" s="348">
        <v>0</v>
      </c>
      <c r="H45" s="348">
        <v>0</v>
      </c>
      <c r="I45" s="348">
        <v>0</v>
      </c>
      <c r="J45" s="348">
        <v>0</v>
      </c>
      <c r="K45" s="348">
        <v>0</v>
      </c>
      <c r="L45" s="348">
        <v>0</v>
      </c>
      <c r="M45" s="347">
        <v>33288000</v>
      </c>
      <c r="N45" s="348">
        <v>0</v>
      </c>
      <c r="O45" s="347">
        <v>2858801</v>
      </c>
      <c r="P45" s="347">
        <v>2858801</v>
      </c>
      <c r="Q45" s="348">
        <v>0</v>
      </c>
      <c r="R45" s="347">
        <v>30429199</v>
      </c>
      <c r="S45" s="348">
        <v>0</v>
      </c>
      <c r="T45" s="347">
        <v>2858801</v>
      </c>
      <c r="U45" s="347">
        <v>2858801</v>
      </c>
      <c r="V45" s="347">
        <v>30429199</v>
      </c>
      <c r="W45" s="347">
        <v>422801</v>
      </c>
      <c r="X45" s="348">
        <v>0</v>
      </c>
      <c r="Y45" s="347">
        <v>422801</v>
      </c>
      <c r="Z45" s="347">
        <v>422801</v>
      </c>
      <c r="AA45" s="347">
        <v>2436000</v>
      </c>
    </row>
    <row r="46" spans="1:27" ht="33" hidden="1" x14ac:dyDescent="0.25">
      <c r="A46" s="346" t="s">
        <v>768</v>
      </c>
      <c r="B46" s="346" t="s">
        <v>769</v>
      </c>
      <c r="C46" s="346" t="s">
        <v>541</v>
      </c>
      <c r="D46" s="346" t="s">
        <v>633</v>
      </c>
      <c r="E46" s="346" t="s">
        <v>556</v>
      </c>
      <c r="F46" s="347">
        <v>10188000</v>
      </c>
      <c r="G46" s="348">
        <v>0</v>
      </c>
      <c r="H46" s="348">
        <v>0</v>
      </c>
      <c r="I46" s="348">
        <v>0</v>
      </c>
      <c r="J46" s="348">
        <v>0</v>
      </c>
      <c r="K46" s="348">
        <v>0</v>
      </c>
      <c r="L46" s="348">
        <v>0</v>
      </c>
      <c r="M46" s="347">
        <v>10188000</v>
      </c>
      <c r="N46" s="348">
        <v>0</v>
      </c>
      <c r="O46" s="347">
        <v>2784000</v>
      </c>
      <c r="P46" s="347">
        <v>2784000</v>
      </c>
      <c r="Q46" s="348">
        <v>0</v>
      </c>
      <c r="R46" s="347">
        <v>7404000</v>
      </c>
      <c r="S46" s="348">
        <v>0</v>
      </c>
      <c r="T46" s="347">
        <v>2784000</v>
      </c>
      <c r="U46" s="347">
        <v>2784000</v>
      </c>
      <c r="V46" s="347">
        <v>7404000</v>
      </c>
      <c r="W46" s="347">
        <v>348000</v>
      </c>
      <c r="X46" s="348">
        <v>0</v>
      </c>
      <c r="Y46" s="347">
        <v>348000</v>
      </c>
      <c r="Z46" s="347">
        <v>348000</v>
      </c>
      <c r="AA46" s="347">
        <v>2436000</v>
      </c>
    </row>
    <row r="47" spans="1:27" ht="33" hidden="1" x14ac:dyDescent="0.25">
      <c r="A47" s="346" t="s">
        <v>770</v>
      </c>
      <c r="B47" s="346" t="s">
        <v>771</v>
      </c>
      <c r="C47" s="346" t="s">
        <v>541</v>
      </c>
      <c r="D47" s="346" t="s">
        <v>772</v>
      </c>
      <c r="E47" s="346" t="s">
        <v>556</v>
      </c>
      <c r="F47" s="347">
        <v>23100000</v>
      </c>
      <c r="G47" s="348">
        <v>0</v>
      </c>
      <c r="H47" s="348">
        <v>0</v>
      </c>
      <c r="I47" s="348">
        <v>0</v>
      </c>
      <c r="J47" s="348">
        <v>0</v>
      </c>
      <c r="K47" s="348">
        <v>0</v>
      </c>
      <c r="L47" s="348">
        <v>0</v>
      </c>
      <c r="M47" s="347">
        <v>23100000</v>
      </c>
      <c r="N47" s="348">
        <v>0</v>
      </c>
      <c r="O47" s="347">
        <v>74801</v>
      </c>
      <c r="P47" s="347">
        <v>74801</v>
      </c>
      <c r="Q47" s="348">
        <v>0</v>
      </c>
      <c r="R47" s="347">
        <v>23025199</v>
      </c>
      <c r="S47" s="348">
        <v>0</v>
      </c>
      <c r="T47" s="347">
        <v>74801</v>
      </c>
      <c r="U47" s="347">
        <v>74801</v>
      </c>
      <c r="V47" s="347">
        <v>23025199</v>
      </c>
      <c r="W47" s="347">
        <v>74801</v>
      </c>
      <c r="X47" s="348">
        <v>0</v>
      </c>
      <c r="Y47" s="347">
        <v>74801</v>
      </c>
      <c r="Z47" s="347">
        <v>74801</v>
      </c>
      <c r="AA47" s="348">
        <v>0</v>
      </c>
    </row>
    <row r="48" spans="1:27" ht="22.5" hidden="1" x14ac:dyDescent="0.25">
      <c r="A48" s="346" t="s">
        <v>539</v>
      </c>
      <c r="B48" s="346" t="s">
        <v>635</v>
      </c>
      <c r="C48" s="346" t="s">
        <v>541</v>
      </c>
      <c r="D48" s="346" t="s">
        <v>636</v>
      </c>
      <c r="E48" s="346" t="s">
        <v>539</v>
      </c>
      <c r="F48" s="347">
        <v>348039290</v>
      </c>
      <c r="G48" s="348">
        <v>0</v>
      </c>
      <c r="H48" s="348">
        <v>0</v>
      </c>
      <c r="I48" s="348">
        <v>0</v>
      </c>
      <c r="J48" s="348">
        <v>0</v>
      </c>
      <c r="K48" s="347">
        <v>5656761</v>
      </c>
      <c r="L48" s="348">
        <v>0</v>
      </c>
      <c r="M48" s="347">
        <v>353696051</v>
      </c>
      <c r="N48" s="348">
        <v>0</v>
      </c>
      <c r="O48" s="347">
        <v>352585912</v>
      </c>
      <c r="P48" s="347">
        <v>352585912</v>
      </c>
      <c r="Q48" s="348">
        <v>0</v>
      </c>
      <c r="R48" s="347">
        <v>1110139</v>
      </c>
      <c r="S48" s="348">
        <v>0</v>
      </c>
      <c r="T48" s="347">
        <v>352585912</v>
      </c>
      <c r="U48" s="347">
        <v>352585912</v>
      </c>
      <c r="V48" s="347">
        <v>1110139</v>
      </c>
      <c r="W48" s="348">
        <v>0</v>
      </c>
      <c r="X48" s="348">
        <v>0</v>
      </c>
      <c r="Y48" s="348">
        <v>0</v>
      </c>
      <c r="Z48" s="348">
        <v>0</v>
      </c>
      <c r="AA48" s="347">
        <v>352585912</v>
      </c>
    </row>
    <row r="49" spans="1:27" ht="22.5" hidden="1" x14ac:dyDescent="0.25">
      <c r="A49" s="346" t="s">
        <v>773</v>
      </c>
      <c r="B49" s="346" t="s">
        <v>774</v>
      </c>
      <c r="C49" s="346" t="s">
        <v>541</v>
      </c>
      <c r="D49" s="346" t="s">
        <v>775</v>
      </c>
      <c r="E49" s="346" t="s">
        <v>556</v>
      </c>
      <c r="F49" s="347">
        <v>300062900</v>
      </c>
      <c r="G49" s="348">
        <v>0</v>
      </c>
      <c r="H49" s="348">
        <v>0</v>
      </c>
      <c r="I49" s="348">
        <v>0</v>
      </c>
      <c r="J49" s="348">
        <v>0</v>
      </c>
      <c r="K49" s="348">
        <v>0</v>
      </c>
      <c r="L49" s="348">
        <v>0</v>
      </c>
      <c r="M49" s="347">
        <v>300062900</v>
      </c>
      <c r="N49" s="348">
        <v>0</v>
      </c>
      <c r="O49" s="347">
        <v>300062900</v>
      </c>
      <c r="P49" s="347">
        <v>300062900</v>
      </c>
      <c r="Q49" s="348">
        <v>0</v>
      </c>
      <c r="R49" s="348">
        <v>0</v>
      </c>
      <c r="S49" s="348">
        <v>0</v>
      </c>
      <c r="T49" s="347">
        <v>300062900</v>
      </c>
      <c r="U49" s="347">
        <v>300062900</v>
      </c>
      <c r="V49" s="348">
        <v>0</v>
      </c>
      <c r="W49" s="348">
        <v>0</v>
      </c>
      <c r="X49" s="348">
        <v>0</v>
      </c>
      <c r="Y49" s="348">
        <v>0</v>
      </c>
      <c r="Z49" s="348">
        <v>0</v>
      </c>
      <c r="AA49" s="347">
        <v>300062900</v>
      </c>
    </row>
    <row r="50" spans="1:27" ht="22.5" hidden="1" x14ac:dyDescent="0.25">
      <c r="A50" s="346" t="s">
        <v>776</v>
      </c>
      <c r="B50" s="346" t="s">
        <v>777</v>
      </c>
      <c r="C50" s="346" t="s">
        <v>541</v>
      </c>
      <c r="D50" s="346" t="s">
        <v>636</v>
      </c>
      <c r="E50" s="346" t="s">
        <v>556</v>
      </c>
      <c r="F50" s="347">
        <v>47976390</v>
      </c>
      <c r="G50" s="348">
        <v>0</v>
      </c>
      <c r="H50" s="348">
        <v>0</v>
      </c>
      <c r="I50" s="348">
        <v>0</v>
      </c>
      <c r="J50" s="348">
        <v>0</v>
      </c>
      <c r="K50" s="347">
        <v>5656761</v>
      </c>
      <c r="L50" s="348">
        <v>0</v>
      </c>
      <c r="M50" s="347">
        <v>53633151</v>
      </c>
      <c r="N50" s="348">
        <v>0</v>
      </c>
      <c r="O50" s="347">
        <v>52523012</v>
      </c>
      <c r="P50" s="347">
        <v>52523012</v>
      </c>
      <c r="Q50" s="348">
        <v>0</v>
      </c>
      <c r="R50" s="347">
        <v>1110139</v>
      </c>
      <c r="S50" s="348">
        <v>0</v>
      </c>
      <c r="T50" s="347">
        <v>52523012</v>
      </c>
      <c r="U50" s="347">
        <v>52523012</v>
      </c>
      <c r="V50" s="347">
        <v>1110139</v>
      </c>
      <c r="W50" s="348">
        <v>0</v>
      </c>
      <c r="X50" s="348">
        <v>0</v>
      </c>
      <c r="Y50" s="348">
        <v>0</v>
      </c>
      <c r="Z50" s="348">
        <v>0</v>
      </c>
      <c r="AA50" s="347">
        <v>52523012</v>
      </c>
    </row>
    <row r="51" spans="1:27" hidden="1" x14ac:dyDescent="0.25">
      <c r="A51" s="346" t="s">
        <v>778</v>
      </c>
      <c r="B51" s="346" t="s">
        <v>638</v>
      </c>
      <c r="C51" s="346" t="s">
        <v>541</v>
      </c>
      <c r="D51" s="346" t="s">
        <v>639</v>
      </c>
      <c r="E51" s="346" t="s">
        <v>556</v>
      </c>
      <c r="F51" s="347">
        <v>128071960</v>
      </c>
      <c r="G51" s="348">
        <v>0</v>
      </c>
      <c r="H51" s="348">
        <v>0</v>
      </c>
      <c r="I51" s="348">
        <v>0</v>
      </c>
      <c r="J51" s="348">
        <v>0</v>
      </c>
      <c r="K51" s="348">
        <v>0</v>
      </c>
      <c r="L51" s="348">
        <v>0</v>
      </c>
      <c r="M51" s="347">
        <v>128071960</v>
      </c>
      <c r="N51" s="348">
        <v>0</v>
      </c>
      <c r="O51" s="347">
        <v>13377474</v>
      </c>
      <c r="P51" s="347">
        <v>13377474</v>
      </c>
      <c r="Q51" s="348">
        <v>0</v>
      </c>
      <c r="R51" s="347">
        <v>114694486</v>
      </c>
      <c r="S51" s="348">
        <v>0</v>
      </c>
      <c r="T51" s="347">
        <v>13377474</v>
      </c>
      <c r="U51" s="347">
        <v>13377474</v>
      </c>
      <c r="V51" s="347">
        <v>114694486</v>
      </c>
      <c r="W51" s="347">
        <v>7287474</v>
      </c>
      <c r="X51" s="348">
        <v>0</v>
      </c>
      <c r="Y51" s="347">
        <v>7287474</v>
      </c>
      <c r="Z51" s="347">
        <v>7287474</v>
      </c>
      <c r="AA51" s="347">
        <v>6090000</v>
      </c>
    </row>
    <row r="52" spans="1:27" hidden="1" x14ac:dyDescent="0.25">
      <c r="A52" s="346" t="s">
        <v>539</v>
      </c>
      <c r="B52" s="346" t="s">
        <v>641</v>
      </c>
      <c r="C52" s="346" t="s">
        <v>541</v>
      </c>
      <c r="D52" s="346" t="s">
        <v>642</v>
      </c>
      <c r="E52" s="346" t="s">
        <v>539</v>
      </c>
      <c r="F52" s="347">
        <v>358081000</v>
      </c>
      <c r="G52" s="348">
        <v>0</v>
      </c>
      <c r="H52" s="348">
        <v>0</v>
      </c>
      <c r="I52" s="348">
        <v>0</v>
      </c>
      <c r="J52" s="348">
        <v>0</v>
      </c>
      <c r="K52" s="348">
        <v>0</v>
      </c>
      <c r="L52" s="348">
        <v>0</v>
      </c>
      <c r="M52" s="347">
        <v>358081000</v>
      </c>
      <c r="N52" s="348">
        <v>0</v>
      </c>
      <c r="O52" s="347">
        <v>198026666</v>
      </c>
      <c r="P52" s="347">
        <v>198026666</v>
      </c>
      <c r="Q52" s="348">
        <v>0</v>
      </c>
      <c r="R52" s="347">
        <v>160054334</v>
      </c>
      <c r="S52" s="348">
        <v>0</v>
      </c>
      <c r="T52" s="347">
        <v>198026666</v>
      </c>
      <c r="U52" s="347">
        <v>198026666</v>
      </c>
      <c r="V52" s="347">
        <v>160054334</v>
      </c>
      <c r="W52" s="347">
        <v>53673332</v>
      </c>
      <c r="X52" s="348">
        <v>0</v>
      </c>
      <c r="Y52" s="347">
        <v>53673332</v>
      </c>
      <c r="Z52" s="347">
        <v>53673332</v>
      </c>
      <c r="AA52" s="347">
        <v>144353334</v>
      </c>
    </row>
    <row r="53" spans="1:27" hidden="1" x14ac:dyDescent="0.25">
      <c r="A53" s="346" t="s">
        <v>779</v>
      </c>
      <c r="B53" s="346" t="s">
        <v>780</v>
      </c>
      <c r="C53" s="346" t="s">
        <v>541</v>
      </c>
      <c r="D53" s="346" t="s">
        <v>642</v>
      </c>
      <c r="E53" s="346" t="s">
        <v>556</v>
      </c>
      <c r="F53" s="347">
        <v>284008943</v>
      </c>
      <c r="G53" s="348">
        <v>0</v>
      </c>
      <c r="H53" s="348">
        <v>0</v>
      </c>
      <c r="I53" s="348">
        <v>0</v>
      </c>
      <c r="J53" s="348">
        <v>0</v>
      </c>
      <c r="K53" s="348">
        <v>0</v>
      </c>
      <c r="L53" s="348">
        <v>0</v>
      </c>
      <c r="M53" s="347">
        <v>284008943</v>
      </c>
      <c r="N53" s="348">
        <v>0</v>
      </c>
      <c r="O53" s="347">
        <v>198026666</v>
      </c>
      <c r="P53" s="347">
        <v>198026666</v>
      </c>
      <c r="Q53" s="348">
        <v>0</v>
      </c>
      <c r="R53" s="347">
        <v>85982277</v>
      </c>
      <c r="S53" s="348">
        <v>0</v>
      </c>
      <c r="T53" s="347">
        <v>198026666</v>
      </c>
      <c r="U53" s="347">
        <v>198026666</v>
      </c>
      <c r="V53" s="347">
        <v>85982277</v>
      </c>
      <c r="W53" s="347">
        <v>53673332</v>
      </c>
      <c r="X53" s="348">
        <v>0</v>
      </c>
      <c r="Y53" s="347">
        <v>53673332</v>
      </c>
      <c r="Z53" s="347">
        <v>53673332</v>
      </c>
      <c r="AA53" s="347">
        <v>144353334</v>
      </c>
    </row>
    <row r="54" spans="1:27" hidden="1" x14ac:dyDescent="0.25">
      <c r="A54" s="346" t="s">
        <v>781</v>
      </c>
      <c r="B54" s="346" t="s">
        <v>782</v>
      </c>
      <c r="C54" s="346" t="s">
        <v>541</v>
      </c>
      <c r="D54" s="346" t="s">
        <v>642</v>
      </c>
      <c r="E54" s="346" t="s">
        <v>783</v>
      </c>
      <c r="F54" s="347">
        <v>74072057</v>
      </c>
      <c r="G54" s="348">
        <v>0</v>
      </c>
      <c r="H54" s="348">
        <v>0</v>
      </c>
      <c r="I54" s="348">
        <v>0</v>
      </c>
      <c r="J54" s="348">
        <v>0</v>
      </c>
      <c r="K54" s="348">
        <v>0</v>
      </c>
      <c r="L54" s="348">
        <v>0</v>
      </c>
      <c r="M54" s="347">
        <v>74072057</v>
      </c>
      <c r="N54" s="348">
        <v>0</v>
      </c>
      <c r="O54" s="348">
        <v>0</v>
      </c>
      <c r="P54" s="348">
        <v>0</v>
      </c>
      <c r="Q54" s="348">
        <v>0</v>
      </c>
      <c r="R54" s="347">
        <v>74072057</v>
      </c>
      <c r="S54" s="348">
        <v>0</v>
      </c>
      <c r="T54" s="348">
        <v>0</v>
      </c>
      <c r="U54" s="348">
        <v>0</v>
      </c>
      <c r="V54" s="347">
        <v>74072057</v>
      </c>
      <c r="W54" s="348">
        <v>0</v>
      </c>
      <c r="X54" s="348">
        <v>0</v>
      </c>
      <c r="Y54" s="348">
        <v>0</v>
      </c>
      <c r="Z54" s="348">
        <v>0</v>
      </c>
      <c r="AA54" s="348">
        <v>0</v>
      </c>
    </row>
    <row r="55" spans="1:27" hidden="1" x14ac:dyDescent="0.25">
      <c r="A55" s="346" t="s">
        <v>784</v>
      </c>
      <c r="B55" s="346" t="s">
        <v>569</v>
      </c>
      <c r="C55" s="346" t="s">
        <v>541</v>
      </c>
      <c r="D55" s="346" t="s">
        <v>570</v>
      </c>
      <c r="E55" s="346" t="s">
        <v>571</v>
      </c>
      <c r="F55" s="347">
        <v>7500000</v>
      </c>
      <c r="G55" s="348">
        <v>0</v>
      </c>
      <c r="H55" s="348">
        <v>0</v>
      </c>
      <c r="I55" s="348">
        <v>0</v>
      </c>
      <c r="J55" s="348">
        <v>0</v>
      </c>
      <c r="K55" s="348">
        <v>0</v>
      </c>
      <c r="L55" s="348">
        <v>0</v>
      </c>
      <c r="M55" s="347">
        <v>7500000</v>
      </c>
      <c r="N55" s="348">
        <v>0</v>
      </c>
      <c r="O55" s="347">
        <v>3080179</v>
      </c>
      <c r="P55" s="347">
        <v>3080179</v>
      </c>
      <c r="Q55" s="348">
        <v>0</v>
      </c>
      <c r="R55" s="347">
        <v>4419821</v>
      </c>
      <c r="S55" s="348">
        <v>0</v>
      </c>
      <c r="T55" s="347">
        <v>3080179</v>
      </c>
      <c r="U55" s="347">
        <v>3080179</v>
      </c>
      <c r="V55" s="347">
        <v>4419821</v>
      </c>
      <c r="W55" s="347">
        <v>3080179</v>
      </c>
      <c r="X55" s="348">
        <v>0</v>
      </c>
      <c r="Y55" s="347">
        <v>3080179</v>
      </c>
      <c r="Z55" s="347">
        <v>3080179</v>
      </c>
      <c r="AA55" s="348">
        <v>0</v>
      </c>
    </row>
    <row r="56" spans="1:27" hidden="1" x14ac:dyDescent="0.25">
      <c r="A56" s="346" t="s">
        <v>539</v>
      </c>
      <c r="B56" s="346" t="s">
        <v>643</v>
      </c>
      <c r="C56" s="346" t="s">
        <v>541</v>
      </c>
      <c r="D56" s="346" t="s">
        <v>644</v>
      </c>
      <c r="E56" s="346" t="s">
        <v>539</v>
      </c>
      <c r="F56" s="347">
        <v>25927943</v>
      </c>
      <c r="G56" s="348">
        <v>0</v>
      </c>
      <c r="H56" s="348">
        <v>0</v>
      </c>
      <c r="I56" s="348">
        <v>0</v>
      </c>
      <c r="J56" s="348">
        <v>0</v>
      </c>
      <c r="K56" s="348">
        <v>0</v>
      </c>
      <c r="L56" s="347">
        <v>5656761</v>
      </c>
      <c r="M56" s="347">
        <v>20271182</v>
      </c>
      <c r="N56" s="348">
        <v>0</v>
      </c>
      <c r="O56" s="348">
        <v>0</v>
      </c>
      <c r="P56" s="348">
        <v>0</v>
      </c>
      <c r="Q56" s="348">
        <v>0</v>
      </c>
      <c r="R56" s="347">
        <v>20271182</v>
      </c>
      <c r="S56" s="348">
        <v>0</v>
      </c>
      <c r="T56" s="348">
        <v>0</v>
      </c>
      <c r="U56" s="348">
        <v>0</v>
      </c>
      <c r="V56" s="347">
        <v>20271182</v>
      </c>
      <c r="W56" s="348">
        <v>0</v>
      </c>
      <c r="X56" s="348">
        <v>0</v>
      </c>
      <c r="Y56" s="348">
        <v>0</v>
      </c>
      <c r="Z56" s="348">
        <v>0</v>
      </c>
      <c r="AA56" s="348">
        <v>0</v>
      </c>
    </row>
    <row r="57" spans="1:27" x14ac:dyDescent="0.25">
      <c r="A57" s="346" t="s">
        <v>539</v>
      </c>
      <c r="B57" s="346" t="s">
        <v>645</v>
      </c>
      <c r="C57" s="346" t="s">
        <v>541</v>
      </c>
      <c r="D57" s="346" t="s">
        <v>646</v>
      </c>
      <c r="E57" s="346" t="s">
        <v>539</v>
      </c>
      <c r="F57" s="347">
        <v>25927943</v>
      </c>
      <c r="G57" s="348">
        <v>0</v>
      </c>
      <c r="H57" s="348">
        <v>0</v>
      </c>
      <c r="I57" s="348">
        <v>0</v>
      </c>
      <c r="J57" s="348">
        <v>0</v>
      </c>
      <c r="K57" s="348">
        <v>0</v>
      </c>
      <c r="L57" s="347">
        <v>5656761</v>
      </c>
      <c r="M57" s="347">
        <v>20271182</v>
      </c>
      <c r="N57" s="348">
        <v>0</v>
      </c>
      <c r="O57" s="348">
        <v>0</v>
      </c>
      <c r="P57" s="348">
        <v>0</v>
      </c>
      <c r="Q57" s="348">
        <v>0</v>
      </c>
      <c r="R57" s="347">
        <v>20271182</v>
      </c>
      <c r="S57" s="348">
        <v>0</v>
      </c>
      <c r="T57" s="348">
        <v>0</v>
      </c>
      <c r="U57" s="348">
        <v>0</v>
      </c>
      <c r="V57" s="347">
        <v>20271182</v>
      </c>
      <c r="W57" s="348">
        <v>0</v>
      </c>
      <c r="X57" s="348">
        <v>0</v>
      </c>
      <c r="Y57" s="348">
        <v>0</v>
      </c>
      <c r="Z57" s="348">
        <v>0</v>
      </c>
      <c r="AA57" s="348">
        <v>0</v>
      </c>
    </row>
    <row r="58" spans="1:27" hidden="1" x14ac:dyDescent="0.25">
      <c r="A58" s="346" t="s">
        <v>539</v>
      </c>
      <c r="B58" s="346" t="s">
        <v>647</v>
      </c>
      <c r="C58" s="346" t="s">
        <v>541</v>
      </c>
      <c r="D58" s="346" t="s">
        <v>648</v>
      </c>
      <c r="E58" s="346" t="s">
        <v>539</v>
      </c>
      <c r="F58" s="347">
        <v>25927943</v>
      </c>
      <c r="G58" s="348">
        <v>0</v>
      </c>
      <c r="H58" s="348">
        <v>0</v>
      </c>
      <c r="I58" s="348">
        <v>0</v>
      </c>
      <c r="J58" s="348">
        <v>0</v>
      </c>
      <c r="K58" s="348">
        <v>0</v>
      </c>
      <c r="L58" s="347">
        <v>5656761</v>
      </c>
      <c r="M58" s="347">
        <v>20271182</v>
      </c>
      <c r="N58" s="348">
        <v>0</v>
      </c>
      <c r="O58" s="348">
        <v>0</v>
      </c>
      <c r="P58" s="348">
        <v>0</v>
      </c>
      <c r="Q58" s="348">
        <v>0</v>
      </c>
      <c r="R58" s="347">
        <v>20271182</v>
      </c>
      <c r="S58" s="348">
        <v>0</v>
      </c>
      <c r="T58" s="348">
        <v>0</v>
      </c>
      <c r="U58" s="348">
        <v>0</v>
      </c>
      <c r="V58" s="347">
        <v>20271182</v>
      </c>
      <c r="W58" s="348">
        <v>0</v>
      </c>
      <c r="X58" s="348">
        <v>0</v>
      </c>
      <c r="Y58" s="348">
        <v>0</v>
      </c>
      <c r="Z58" s="348">
        <v>0</v>
      </c>
      <c r="AA58" s="348">
        <v>0</v>
      </c>
    </row>
    <row r="59" spans="1:27" hidden="1" x14ac:dyDescent="0.25">
      <c r="A59" s="346" t="s">
        <v>785</v>
      </c>
      <c r="B59" s="346" t="s">
        <v>650</v>
      </c>
      <c r="C59" s="346" t="s">
        <v>541</v>
      </c>
      <c r="D59" s="346" t="s">
        <v>651</v>
      </c>
      <c r="E59" s="346" t="s">
        <v>556</v>
      </c>
      <c r="F59" s="347">
        <v>25927943</v>
      </c>
      <c r="G59" s="348">
        <v>0</v>
      </c>
      <c r="H59" s="348">
        <v>0</v>
      </c>
      <c r="I59" s="348">
        <v>0</v>
      </c>
      <c r="J59" s="348">
        <v>0</v>
      </c>
      <c r="K59" s="348">
        <v>0</v>
      </c>
      <c r="L59" s="347">
        <v>5656761</v>
      </c>
      <c r="M59" s="347">
        <v>20271182</v>
      </c>
      <c r="N59" s="348">
        <v>0</v>
      </c>
      <c r="O59" s="348">
        <v>0</v>
      </c>
      <c r="P59" s="348">
        <v>0</v>
      </c>
      <c r="Q59" s="348">
        <v>0</v>
      </c>
      <c r="R59" s="347">
        <v>20271182</v>
      </c>
      <c r="S59" s="348">
        <v>0</v>
      </c>
      <c r="T59" s="348">
        <v>0</v>
      </c>
      <c r="U59" s="348">
        <v>0</v>
      </c>
      <c r="V59" s="347">
        <v>20271182</v>
      </c>
      <c r="W59" s="348">
        <v>0</v>
      </c>
      <c r="X59" s="348">
        <v>0</v>
      </c>
      <c r="Y59" s="348">
        <v>0</v>
      </c>
      <c r="Z59" s="348">
        <v>0</v>
      </c>
      <c r="AA59" s="348">
        <v>0</v>
      </c>
    </row>
    <row r="60" spans="1:27" hidden="1" x14ac:dyDescent="0.25">
      <c r="A60" s="346" t="s">
        <v>539</v>
      </c>
      <c r="B60" s="346" t="s">
        <v>653</v>
      </c>
      <c r="C60" s="346" t="s">
        <v>541</v>
      </c>
      <c r="D60" s="346" t="s">
        <v>654</v>
      </c>
      <c r="E60" s="346" t="s">
        <v>539</v>
      </c>
      <c r="F60" s="347">
        <v>42616000</v>
      </c>
      <c r="G60" s="348">
        <v>0</v>
      </c>
      <c r="H60" s="348">
        <v>0</v>
      </c>
      <c r="I60" s="348">
        <v>0</v>
      </c>
      <c r="J60" s="348">
        <v>0</v>
      </c>
      <c r="K60" s="348">
        <v>0</v>
      </c>
      <c r="L60" s="348">
        <v>0</v>
      </c>
      <c r="M60" s="347">
        <v>42616000</v>
      </c>
      <c r="N60" s="348">
        <v>0</v>
      </c>
      <c r="O60" s="347">
        <v>42616000</v>
      </c>
      <c r="P60" s="347">
        <v>42616000</v>
      </c>
      <c r="Q60" s="348">
        <v>0</v>
      </c>
      <c r="R60" s="348">
        <v>0</v>
      </c>
      <c r="S60" s="348">
        <v>0</v>
      </c>
      <c r="T60" s="347">
        <v>42616000</v>
      </c>
      <c r="U60" s="347">
        <v>42616000</v>
      </c>
      <c r="V60" s="348">
        <v>0</v>
      </c>
      <c r="W60" s="347">
        <v>10653999.99</v>
      </c>
      <c r="X60" s="348">
        <v>0</v>
      </c>
      <c r="Y60" s="347">
        <v>10653999.99</v>
      </c>
      <c r="Z60" s="347">
        <v>10653999.99</v>
      </c>
      <c r="AA60" s="347">
        <v>31962000.010000002</v>
      </c>
    </row>
    <row r="61" spans="1:27" hidden="1" x14ac:dyDescent="0.25">
      <c r="A61" s="346" t="s">
        <v>539</v>
      </c>
      <c r="B61" s="346" t="s">
        <v>655</v>
      </c>
      <c r="C61" s="346" t="s">
        <v>541</v>
      </c>
      <c r="D61" s="346" t="s">
        <v>656</v>
      </c>
      <c r="E61" s="346" t="s">
        <v>539</v>
      </c>
      <c r="F61" s="347">
        <v>42616000</v>
      </c>
      <c r="G61" s="348">
        <v>0</v>
      </c>
      <c r="H61" s="348">
        <v>0</v>
      </c>
      <c r="I61" s="348">
        <v>0</v>
      </c>
      <c r="J61" s="348">
        <v>0</v>
      </c>
      <c r="K61" s="348">
        <v>0</v>
      </c>
      <c r="L61" s="348">
        <v>0</v>
      </c>
      <c r="M61" s="347">
        <v>42616000</v>
      </c>
      <c r="N61" s="348">
        <v>0</v>
      </c>
      <c r="O61" s="347">
        <v>42616000</v>
      </c>
      <c r="P61" s="347">
        <v>42616000</v>
      </c>
      <c r="Q61" s="348">
        <v>0</v>
      </c>
      <c r="R61" s="348">
        <v>0</v>
      </c>
      <c r="S61" s="348">
        <v>0</v>
      </c>
      <c r="T61" s="347">
        <v>42616000</v>
      </c>
      <c r="U61" s="347">
        <v>42616000</v>
      </c>
      <c r="V61" s="348">
        <v>0</v>
      </c>
      <c r="W61" s="347">
        <v>10653999.99</v>
      </c>
      <c r="X61" s="348">
        <v>0</v>
      </c>
      <c r="Y61" s="347">
        <v>10653999.99</v>
      </c>
      <c r="Z61" s="347">
        <v>10653999.99</v>
      </c>
      <c r="AA61" s="347">
        <v>31962000.010000002</v>
      </c>
    </row>
    <row r="62" spans="1:27" x14ac:dyDescent="0.25">
      <c r="A62" s="346" t="s">
        <v>786</v>
      </c>
      <c r="B62" s="346" t="s">
        <v>658</v>
      </c>
      <c r="C62" s="346" t="s">
        <v>541</v>
      </c>
      <c r="D62" s="346" t="s">
        <v>659</v>
      </c>
      <c r="E62" s="346" t="s">
        <v>556</v>
      </c>
      <c r="F62" s="347">
        <v>42616000</v>
      </c>
      <c r="G62" s="348">
        <v>0</v>
      </c>
      <c r="H62" s="348">
        <v>0</v>
      </c>
      <c r="I62" s="348">
        <v>0</v>
      </c>
      <c r="J62" s="348">
        <v>0</v>
      </c>
      <c r="K62" s="348">
        <v>0</v>
      </c>
      <c r="L62" s="348">
        <v>0</v>
      </c>
      <c r="M62" s="347">
        <v>42616000</v>
      </c>
      <c r="N62" s="348">
        <v>0</v>
      </c>
      <c r="O62" s="347">
        <v>42616000</v>
      </c>
      <c r="P62" s="347">
        <v>42616000</v>
      </c>
      <c r="Q62" s="348">
        <v>0</v>
      </c>
      <c r="R62" s="348">
        <v>0</v>
      </c>
      <c r="S62" s="348">
        <v>0</v>
      </c>
      <c r="T62" s="347">
        <v>42616000</v>
      </c>
      <c r="U62" s="347">
        <v>42616000</v>
      </c>
      <c r="V62" s="348">
        <v>0</v>
      </c>
      <c r="W62" s="347">
        <v>10653999.99</v>
      </c>
      <c r="X62" s="348">
        <v>0</v>
      </c>
      <c r="Y62" s="347">
        <v>10653999.99</v>
      </c>
      <c r="Z62" s="347">
        <v>10653999.99</v>
      </c>
      <c r="AA62" s="347">
        <v>31962000.010000002</v>
      </c>
    </row>
    <row r="63" spans="1:27" s="352" customFormat="1" x14ac:dyDescent="0.25">
      <c r="A63" s="349" t="s">
        <v>539</v>
      </c>
      <c r="B63" s="349" t="s">
        <v>660</v>
      </c>
      <c r="C63" s="349" t="s">
        <v>541</v>
      </c>
      <c r="D63" s="349" t="s">
        <v>661</v>
      </c>
      <c r="E63" s="349" t="s">
        <v>539</v>
      </c>
      <c r="F63" s="350">
        <v>4364918051</v>
      </c>
      <c r="G63" s="351">
        <v>0</v>
      </c>
      <c r="H63" s="351">
        <v>0</v>
      </c>
      <c r="I63" s="351">
        <v>0</v>
      </c>
      <c r="J63" s="351">
        <v>0</v>
      </c>
      <c r="K63" s="351">
        <v>0</v>
      </c>
      <c r="L63" s="351">
        <v>0</v>
      </c>
      <c r="M63" s="350">
        <v>4364918051</v>
      </c>
      <c r="N63" s="351">
        <v>0</v>
      </c>
      <c r="O63" s="350">
        <v>3114453988</v>
      </c>
      <c r="P63" s="350">
        <v>3114453988</v>
      </c>
      <c r="Q63" s="351">
        <v>0</v>
      </c>
      <c r="R63" s="350">
        <v>1250464063</v>
      </c>
      <c r="S63" s="351">
        <v>0</v>
      </c>
      <c r="T63" s="350">
        <v>3075603988</v>
      </c>
      <c r="U63" s="350">
        <v>3075603988</v>
      </c>
      <c r="V63" s="350">
        <v>1289314063</v>
      </c>
      <c r="W63" s="350">
        <v>375860954</v>
      </c>
      <c r="X63" s="351">
        <v>0</v>
      </c>
      <c r="Y63" s="350">
        <v>375860954</v>
      </c>
      <c r="Z63" s="350">
        <v>375860954</v>
      </c>
      <c r="AA63" s="350">
        <v>2699743034</v>
      </c>
    </row>
    <row r="64" spans="1:27" hidden="1" x14ac:dyDescent="0.25">
      <c r="A64" s="346" t="s">
        <v>539</v>
      </c>
      <c r="B64" s="346" t="s">
        <v>662</v>
      </c>
      <c r="C64" s="346" t="s">
        <v>541</v>
      </c>
      <c r="D64" s="346" t="s">
        <v>663</v>
      </c>
      <c r="E64" s="346" t="s">
        <v>539</v>
      </c>
      <c r="F64" s="347">
        <v>4364918051</v>
      </c>
      <c r="G64" s="348">
        <v>0</v>
      </c>
      <c r="H64" s="348">
        <v>0</v>
      </c>
      <c r="I64" s="348">
        <v>0</v>
      </c>
      <c r="J64" s="348">
        <v>0</v>
      </c>
      <c r="K64" s="348">
        <v>0</v>
      </c>
      <c r="L64" s="348">
        <v>0</v>
      </c>
      <c r="M64" s="347">
        <v>4364918051</v>
      </c>
      <c r="N64" s="348">
        <v>0</v>
      </c>
      <c r="O64" s="347">
        <v>3114453988</v>
      </c>
      <c r="P64" s="347">
        <v>3114453988</v>
      </c>
      <c r="Q64" s="348">
        <v>0</v>
      </c>
      <c r="R64" s="347">
        <v>1250464063</v>
      </c>
      <c r="S64" s="348">
        <v>0</v>
      </c>
      <c r="T64" s="347">
        <v>3075603988</v>
      </c>
      <c r="U64" s="347">
        <v>3075603988</v>
      </c>
      <c r="V64" s="347">
        <v>1289314063</v>
      </c>
      <c r="W64" s="347">
        <v>375860954</v>
      </c>
      <c r="X64" s="348">
        <v>0</v>
      </c>
      <c r="Y64" s="347">
        <v>375860954</v>
      </c>
      <c r="Z64" s="347">
        <v>375860954</v>
      </c>
      <c r="AA64" s="347">
        <v>2699743034</v>
      </c>
    </row>
    <row r="65" spans="1:27" hidden="1" x14ac:dyDescent="0.25">
      <c r="A65" s="346" t="s">
        <v>539</v>
      </c>
      <c r="B65" s="346" t="s">
        <v>675</v>
      </c>
      <c r="C65" s="346" t="s">
        <v>541</v>
      </c>
      <c r="D65" s="346" t="s">
        <v>630</v>
      </c>
      <c r="E65" s="346" t="s">
        <v>539</v>
      </c>
      <c r="F65" s="347">
        <v>4364918051</v>
      </c>
      <c r="G65" s="348">
        <v>0</v>
      </c>
      <c r="H65" s="348">
        <v>0</v>
      </c>
      <c r="I65" s="348">
        <v>0</v>
      </c>
      <c r="J65" s="348">
        <v>0</v>
      </c>
      <c r="K65" s="348">
        <v>0</v>
      </c>
      <c r="L65" s="348">
        <v>0</v>
      </c>
      <c r="M65" s="347">
        <v>4364918051</v>
      </c>
      <c r="N65" s="348">
        <v>0</v>
      </c>
      <c r="O65" s="347">
        <v>3114453988</v>
      </c>
      <c r="P65" s="347">
        <v>3114453988</v>
      </c>
      <c r="Q65" s="348">
        <v>0</v>
      </c>
      <c r="R65" s="347">
        <v>1250464063</v>
      </c>
      <c r="S65" s="348">
        <v>0</v>
      </c>
      <c r="T65" s="347">
        <v>3075603988</v>
      </c>
      <c r="U65" s="347">
        <v>3075603988</v>
      </c>
      <c r="V65" s="347">
        <v>1289314063</v>
      </c>
      <c r="W65" s="347">
        <v>375860954</v>
      </c>
      <c r="X65" s="348">
        <v>0</v>
      </c>
      <c r="Y65" s="347">
        <v>375860954</v>
      </c>
      <c r="Z65" s="347">
        <v>375860954</v>
      </c>
      <c r="AA65" s="347">
        <v>2699743034</v>
      </c>
    </row>
    <row r="66" spans="1:27" ht="33" hidden="1" x14ac:dyDescent="0.25">
      <c r="A66" s="346" t="s">
        <v>539</v>
      </c>
      <c r="B66" s="346" t="s">
        <v>676</v>
      </c>
      <c r="C66" s="346" t="s">
        <v>541</v>
      </c>
      <c r="D66" s="346" t="s">
        <v>633</v>
      </c>
      <c r="E66" s="346" t="s">
        <v>539</v>
      </c>
      <c r="F66" s="347">
        <v>50000000</v>
      </c>
      <c r="G66" s="348">
        <v>0</v>
      </c>
      <c r="H66" s="348">
        <v>0</v>
      </c>
      <c r="I66" s="348">
        <v>0</v>
      </c>
      <c r="J66" s="348">
        <v>0</v>
      </c>
      <c r="K66" s="348">
        <v>0</v>
      </c>
      <c r="L66" s="348">
        <v>0</v>
      </c>
      <c r="M66" s="347">
        <v>50000000</v>
      </c>
      <c r="N66" s="348">
        <v>0</v>
      </c>
      <c r="O66" s="348">
        <v>0</v>
      </c>
      <c r="P66" s="348">
        <v>0</v>
      </c>
      <c r="Q66" s="348">
        <v>0</v>
      </c>
      <c r="R66" s="347">
        <v>50000000</v>
      </c>
      <c r="S66" s="348">
        <v>0</v>
      </c>
      <c r="T66" s="348">
        <v>0</v>
      </c>
      <c r="U66" s="348">
        <v>0</v>
      </c>
      <c r="V66" s="347">
        <v>50000000</v>
      </c>
      <c r="W66" s="348">
        <v>0</v>
      </c>
      <c r="X66" s="348">
        <v>0</v>
      </c>
      <c r="Y66" s="348">
        <v>0</v>
      </c>
      <c r="Z66" s="348">
        <v>0</v>
      </c>
      <c r="AA66" s="348">
        <v>0</v>
      </c>
    </row>
    <row r="67" spans="1:27" s="360" customFormat="1" ht="33" x14ac:dyDescent="0.25">
      <c r="A67" s="357" t="s">
        <v>787</v>
      </c>
      <c r="B67" s="357" t="s">
        <v>678</v>
      </c>
      <c r="C67" s="357" t="s">
        <v>541</v>
      </c>
      <c r="D67" s="357" t="s">
        <v>679</v>
      </c>
      <c r="E67" s="357" t="s">
        <v>556</v>
      </c>
      <c r="F67" s="358">
        <v>50000000</v>
      </c>
      <c r="G67" s="359">
        <v>0</v>
      </c>
      <c r="H67" s="359">
        <v>0</v>
      </c>
      <c r="I67" s="359">
        <v>0</v>
      </c>
      <c r="J67" s="359">
        <v>0</v>
      </c>
      <c r="K67" s="359">
        <v>0</v>
      </c>
      <c r="L67" s="359">
        <v>0</v>
      </c>
      <c r="M67" s="358">
        <v>50000000</v>
      </c>
      <c r="N67" s="359">
        <v>0</v>
      </c>
      <c r="O67" s="359">
        <v>0</v>
      </c>
      <c r="P67" s="359">
        <v>0</v>
      </c>
      <c r="Q67" s="359">
        <v>0</v>
      </c>
      <c r="R67" s="358">
        <v>50000000</v>
      </c>
      <c r="S67" s="359">
        <v>0</v>
      </c>
      <c r="T67" s="359">
        <v>0</v>
      </c>
      <c r="U67" s="359">
        <v>0</v>
      </c>
      <c r="V67" s="358">
        <v>50000000</v>
      </c>
      <c r="W67" s="359">
        <v>0</v>
      </c>
      <c r="X67" s="359">
        <v>0</v>
      </c>
      <c r="Y67" s="359">
        <v>0</v>
      </c>
      <c r="Z67" s="359">
        <v>0</v>
      </c>
      <c r="AA67" s="359">
        <v>0</v>
      </c>
    </row>
    <row r="68" spans="1:27" ht="22.5" hidden="1" x14ac:dyDescent="0.25">
      <c r="A68" s="346" t="s">
        <v>539</v>
      </c>
      <c r="B68" s="346" t="s">
        <v>683</v>
      </c>
      <c r="C68" s="346" t="s">
        <v>541</v>
      </c>
      <c r="D68" s="346" t="s">
        <v>636</v>
      </c>
      <c r="E68" s="346" t="s">
        <v>539</v>
      </c>
      <c r="F68" s="347">
        <v>389441514</v>
      </c>
      <c r="G68" s="348">
        <v>0</v>
      </c>
      <c r="H68" s="348">
        <v>0</v>
      </c>
      <c r="I68" s="348">
        <v>0</v>
      </c>
      <c r="J68" s="348">
        <v>0</v>
      </c>
      <c r="K68" s="348">
        <v>0</v>
      </c>
      <c r="L68" s="348">
        <v>0</v>
      </c>
      <c r="M68" s="347">
        <v>389441514</v>
      </c>
      <c r="N68" s="348">
        <v>0</v>
      </c>
      <c r="O68" s="347">
        <v>331715500</v>
      </c>
      <c r="P68" s="347">
        <v>331715500</v>
      </c>
      <c r="Q68" s="348">
        <v>0</v>
      </c>
      <c r="R68" s="347">
        <v>57726014</v>
      </c>
      <c r="S68" s="348">
        <v>0</v>
      </c>
      <c r="T68" s="347">
        <v>331715500</v>
      </c>
      <c r="U68" s="347">
        <v>331715500</v>
      </c>
      <c r="V68" s="347">
        <v>57726014</v>
      </c>
      <c r="W68" s="347">
        <v>70765500</v>
      </c>
      <c r="X68" s="348">
        <v>0</v>
      </c>
      <c r="Y68" s="347">
        <v>70765500</v>
      </c>
      <c r="Z68" s="347">
        <v>70765500</v>
      </c>
      <c r="AA68" s="347">
        <v>260950000</v>
      </c>
    </row>
    <row r="69" spans="1:27" s="360" customFormat="1" ht="22.5" x14ac:dyDescent="0.25">
      <c r="A69" s="357" t="s">
        <v>788</v>
      </c>
      <c r="B69" s="357" t="s">
        <v>688</v>
      </c>
      <c r="C69" s="357" t="s">
        <v>541</v>
      </c>
      <c r="D69" s="357" t="s">
        <v>689</v>
      </c>
      <c r="E69" s="357" t="s">
        <v>556</v>
      </c>
      <c r="F69" s="358">
        <v>219441514</v>
      </c>
      <c r="G69" s="359">
        <v>0</v>
      </c>
      <c r="H69" s="359">
        <v>0</v>
      </c>
      <c r="I69" s="359">
        <v>0</v>
      </c>
      <c r="J69" s="359">
        <v>0</v>
      </c>
      <c r="K69" s="359">
        <v>0</v>
      </c>
      <c r="L69" s="359">
        <v>0</v>
      </c>
      <c r="M69" s="358">
        <v>219441514</v>
      </c>
      <c r="N69" s="359">
        <v>0</v>
      </c>
      <c r="O69" s="358">
        <v>161715500</v>
      </c>
      <c r="P69" s="358">
        <v>161715500</v>
      </c>
      <c r="Q69" s="359">
        <v>0</v>
      </c>
      <c r="R69" s="358">
        <v>57726014</v>
      </c>
      <c r="S69" s="359">
        <v>0</v>
      </c>
      <c r="T69" s="358">
        <v>161715500</v>
      </c>
      <c r="U69" s="358">
        <v>161715500</v>
      </c>
      <c r="V69" s="358">
        <v>57726014</v>
      </c>
      <c r="W69" s="358">
        <v>70765500</v>
      </c>
      <c r="X69" s="359">
        <v>0</v>
      </c>
      <c r="Y69" s="358">
        <v>70765500</v>
      </c>
      <c r="Z69" s="358">
        <v>70765500</v>
      </c>
      <c r="AA69" s="358">
        <v>90950000</v>
      </c>
    </row>
    <row r="70" spans="1:27" hidden="1" x14ac:dyDescent="0.25">
      <c r="A70" s="346" t="s">
        <v>539</v>
      </c>
      <c r="B70" s="346" t="s">
        <v>698</v>
      </c>
      <c r="C70" s="346" t="s">
        <v>541</v>
      </c>
      <c r="D70" s="346" t="s">
        <v>642</v>
      </c>
      <c r="E70" s="346" t="s">
        <v>539</v>
      </c>
      <c r="F70" s="347">
        <v>3925476537</v>
      </c>
      <c r="G70" s="348">
        <v>0</v>
      </c>
      <c r="H70" s="348">
        <v>0</v>
      </c>
      <c r="I70" s="348">
        <v>0</v>
      </c>
      <c r="J70" s="348">
        <v>0</v>
      </c>
      <c r="K70" s="348">
        <v>0</v>
      </c>
      <c r="L70" s="348">
        <v>0</v>
      </c>
      <c r="M70" s="347">
        <v>3925476537</v>
      </c>
      <c r="N70" s="348">
        <v>0</v>
      </c>
      <c r="O70" s="347">
        <v>2782738488</v>
      </c>
      <c r="P70" s="347">
        <v>2782738488</v>
      </c>
      <c r="Q70" s="348">
        <v>0</v>
      </c>
      <c r="R70" s="347">
        <v>1142738049</v>
      </c>
      <c r="S70" s="348">
        <v>0</v>
      </c>
      <c r="T70" s="347">
        <v>2743888488</v>
      </c>
      <c r="U70" s="347">
        <v>2743888488</v>
      </c>
      <c r="V70" s="347">
        <v>1181588049</v>
      </c>
      <c r="W70" s="347">
        <v>305095454</v>
      </c>
      <c r="X70" s="348">
        <v>0</v>
      </c>
      <c r="Y70" s="347">
        <v>305095454</v>
      </c>
      <c r="Z70" s="347">
        <v>305095454</v>
      </c>
      <c r="AA70" s="347">
        <v>2438793034</v>
      </c>
    </row>
    <row r="71" spans="1:27" s="364" customFormat="1" x14ac:dyDescent="0.25">
      <c r="A71" s="361" t="s">
        <v>789</v>
      </c>
      <c r="B71" s="361" t="s">
        <v>700</v>
      </c>
      <c r="C71" s="361" t="s">
        <v>541</v>
      </c>
      <c r="D71" s="361" t="s">
        <v>701</v>
      </c>
      <c r="E71" s="361" t="s">
        <v>610</v>
      </c>
      <c r="F71" s="362">
        <v>4000000</v>
      </c>
      <c r="G71" s="363">
        <v>0</v>
      </c>
      <c r="H71" s="363">
        <v>0</v>
      </c>
      <c r="I71" s="363">
        <v>0</v>
      </c>
      <c r="J71" s="363">
        <v>0</v>
      </c>
      <c r="K71" s="363">
        <v>0</v>
      </c>
      <c r="L71" s="363">
        <v>0</v>
      </c>
      <c r="M71" s="362">
        <v>4000000</v>
      </c>
      <c r="N71" s="363">
        <v>0</v>
      </c>
      <c r="O71" s="363">
        <v>0</v>
      </c>
      <c r="P71" s="363">
        <v>0</v>
      </c>
      <c r="Q71" s="363">
        <v>0</v>
      </c>
      <c r="R71" s="362">
        <v>4000000</v>
      </c>
      <c r="S71" s="363">
        <v>0</v>
      </c>
      <c r="T71" s="363">
        <v>0</v>
      </c>
      <c r="U71" s="363">
        <v>0</v>
      </c>
      <c r="V71" s="362">
        <v>4000000</v>
      </c>
      <c r="W71" s="363">
        <v>0</v>
      </c>
      <c r="X71" s="363">
        <v>0</v>
      </c>
      <c r="Y71" s="363">
        <v>0</v>
      </c>
      <c r="Z71" s="363">
        <v>0</v>
      </c>
      <c r="AA71" s="363">
        <v>0</v>
      </c>
    </row>
    <row r="72" spans="1:27" s="364" customFormat="1" x14ac:dyDescent="0.25">
      <c r="A72" s="361" t="s">
        <v>790</v>
      </c>
      <c r="B72" s="361" t="s">
        <v>703</v>
      </c>
      <c r="C72" s="361" t="s">
        <v>541</v>
      </c>
      <c r="D72" s="361" t="s">
        <v>701</v>
      </c>
      <c r="E72" s="361" t="s">
        <v>556</v>
      </c>
      <c r="F72" s="362">
        <v>1230360000</v>
      </c>
      <c r="G72" s="363">
        <v>0</v>
      </c>
      <c r="H72" s="363">
        <v>0</v>
      </c>
      <c r="I72" s="363">
        <v>0</v>
      </c>
      <c r="J72" s="363">
        <v>0</v>
      </c>
      <c r="K72" s="363">
        <v>0</v>
      </c>
      <c r="L72" s="363">
        <v>0</v>
      </c>
      <c r="M72" s="362">
        <v>1230360000</v>
      </c>
      <c r="N72" s="363">
        <v>0</v>
      </c>
      <c r="O72" s="362">
        <v>222725000</v>
      </c>
      <c r="P72" s="362">
        <v>222725000</v>
      </c>
      <c r="Q72" s="363">
        <v>0</v>
      </c>
      <c r="R72" s="362">
        <v>1007635000</v>
      </c>
      <c r="S72" s="363">
        <v>0</v>
      </c>
      <c r="T72" s="362">
        <v>222725000</v>
      </c>
      <c r="U72" s="362">
        <v>222725000</v>
      </c>
      <c r="V72" s="362">
        <v>1007635000</v>
      </c>
      <c r="W72" s="362">
        <v>17699999</v>
      </c>
      <c r="X72" s="363">
        <v>0</v>
      </c>
      <c r="Y72" s="362">
        <v>17699999</v>
      </c>
      <c r="Z72" s="362">
        <v>17699999</v>
      </c>
      <c r="AA72" s="362">
        <v>205025001</v>
      </c>
    </row>
    <row r="73" spans="1:27" s="360" customFormat="1" x14ac:dyDescent="0.25">
      <c r="A73" s="357" t="s">
        <v>791</v>
      </c>
      <c r="B73" s="357" t="s">
        <v>705</v>
      </c>
      <c r="C73" s="357" t="s">
        <v>541</v>
      </c>
      <c r="D73" s="357" t="s">
        <v>706</v>
      </c>
      <c r="E73" s="357" t="s">
        <v>556</v>
      </c>
      <c r="F73" s="358">
        <v>1384990486</v>
      </c>
      <c r="G73" s="359">
        <v>0</v>
      </c>
      <c r="H73" s="359">
        <v>0</v>
      </c>
      <c r="I73" s="359">
        <v>0</v>
      </c>
      <c r="J73" s="359">
        <v>0</v>
      </c>
      <c r="K73" s="359">
        <v>0</v>
      </c>
      <c r="L73" s="359">
        <v>0</v>
      </c>
      <c r="M73" s="358">
        <v>1384990486</v>
      </c>
      <c r="N73" s="359">
        <v>0</v>
      </c>
      <c r="O73" s="358">
        <v>1357694886</v>
      </c>
      <c r="P73" s="358">
        <v>1357694886</v>
      </c>
      <c r="Q73" s="359">
        <v>0</v>
      </c>
      <c r="R73" s="358">
        <v>27295600</v>
      </c>
      <c r="S73" s="359">
        <v>0</v>
      </c>
      <c r="T73" s="358">
        <v>1318844886</v>
      </c>
      <c r="U73" s="358">
        <v>1318844886</v>
      </c>
      <c r="V73" s="358">
        <v>66145600</v>
      </c>
      <c r="W73" s="358">
        <v>76311457</v>
      </c>
      <c r="X73" s="359">
        <v>0</v>
      </c>
      <c r="Y73" s="358">
        <v>76311457</v>
      </c>
      <c r="Z73" s="358">
        <v>76311457</v>
      </c>
      <c r="AA73" s="358">
        <v>1242533429</v>
      </c>
    </row>
    <row r="74" spans="1:27" s="372" customFormat="1" x14ac:dyDescent="0.25">
      <c r="A74" s="369" t="s">
        <v>792</v>
      </c>
      <c r="B74" s="369" t="s">
        <v>87</v>
      </c>
      <c r="C74" s="369" t="s">
        <v>541</v>
      </c>
      <c r="D74" s="369" t="s">
        <v>708</v>
      </c>
      <c r="E74" s="369" t="s">
        <v>556</v>
      </c>
      <c r="F74" s="370">
        <v>238770000</v>
      </c>
      <c r="G74" s="371">
        <v>0</v>
      </c>
      <c r="H74" s="371">
        <v>0</v>
      </c>
      <c r="I74" s="371">
        <v>0</v>
      </c>
      <c r="J74" s="371">
        <v>0</v>
      </c>
      <c r="K74" s="371">
        <v>0</v>
      </c>
      <c r="L74" s="371">
        <v>0</v>
      </c>
      <c r="M74" s="370">
        <v>238770000</v>
      </c>
      <c r="N74" s="371">
        <v>0</v>
      </c>
      <c r="O74" s="370">
        <v>219610000</v>
      </c>
      <c r="P74" s="370">
        <v>219610000</v>
      </c>
      <c r="Q74" s="371">
        <v>0</v>
      </c>
      <c r="R74" s="370">
        <v>19160000</v>
      </c>
      <c r="S74" s="371">
        <v>0</v>
      </c>
      <c r="T74" s="370">
        <v>219610000</v>
      </c>
      <c r="U74" s="370">
        <v>219610000</v>
      </c>
      <c r="V74" s="370">
        <v>19160000</v>
      </c>
      <c r="W74" s="370">
        <v>47870458</v>
      </c>
      <c r="X74" s="371">
        <v>0</v>
      </c>
      <c r="Y74" s="370">
        <v>47870458</v>
      </c>
      <c r="Z74" s="370">
        <v>47870458</v>
      </c>
      <c r="AA74" s="370">
        <v>171739542</v>
      </c>
    </row>
    <row r="75" spans="1:27" s="356" customFormat="1" ht="22.5" x14ac:dyDescent="0.25">
      <c r="A75" s="353" t="s">
        <v>793</v>
      </c>
      <c r="B75" s="353" t="s">
        <v>710</v>
      </c>
      <c r="C75" s="353" t="s">
        <v>541</v>
      </c>
      <c r="D75" s="353" t="s">
        <v>711</v>
      </c>
      <c r="E75" s="353" t="s">
        <v>556</v>
      </c>
      <c r="F75" s="354">
        <v>525900000</v>
      </c>
      <c r="G75" s="355">
        <v>0</v>
      </c>
      <c r="H75" s="355">
        <v>0</v>
      </c>
      <c r="I75" s="355">
        <v>0</v>
      </c>
      <c r="J75" s="355">
        <v>0</v>
      </c>
      <c r="K75" s="355">
        <v>0</v>
      </c>
      <c r="L75" s="355">
        <v>0</v>
      </c>
      <c r="M75" s="354">
        <v>525900000</v>
      </c>
      <c r="N75" s="355">
        <v>0</v>
      </c>
      <c r="O75" s="354">
        <v>444625000</v>
      </c>
      <c r="P75" s="354">
        <v>444625000</v>
      </c>
      <c r="Q75" s="355">
        <v>0</v>
      </c>
      <c r="R75" s="354">
        <v>81275000</v>
      </c>
      <c r="S75" s="355">
        <v>0</v>
      </c>
      <c r="T75" s="354">
        <v>444625000</v>
      </c>
      <c r="U75" s="354">
        <v>444625000</v>
      </c>
      <c r="V75" s="354">
        <v>81275000</v>
      </c>
      <c r="W75" s="354">
        <v>52916875</v>
      </c>
      <c r="X75" s="355">
        <v>0</v>
      </c>
      <c r="Y75" s="354">
        <v>52916875</v>
      </c>
      <c r="Z75" s="354">
        <v>52916875</v>
      </c>
      <c r="AA75" s="354">
        <v>391708125</v>
      </c>
    </row>
    <row r="76" spans="1:27" s="368" customFormat="1" ht="22.5" x14ac:dyDescent="0.25">
      <c r="A76" s="365" t="s">
        <v>794</v>
      </c>
      <c r="B76" s="365" t="s">
        <v>99</v>
      </c>
      <c r="C76" s="365" t="s">
        <v>541</v>
      </c>
      <c r="D76" s="365" t="s">
        <v>713</v>
      </c>
      <c r="E76" s="365" t="s">
        <v>556</v>
      </c>
      <c r="F76" s="366">
        <v>541456051</v>
      </c>
      <c r="G76" s="367">
        <v>0</v>
      </c>
      <c r="H76" s="367">
        <v>0</v>
      </c>
      <c r="I76" s="367">
        <v>0</v>
      </c>
      <c r="J76" s="367">
        <v>0</v>
      </c>
      <c r="K76" s="367">
        <v>0</v>
      </c>
      <c r="L76" s="367">
        <v>0</v>
      </c>
      <c r="M76" s="366">
        <v>541456051</v>
      </c>
      <c r="N76" s="367">
        <v>0</v>
      </c>
      <c r="O76" s="366">
        <v>538083602</v>
      </c>
      <c r="P76" s="366">
        <v>538083602</v>
      </c>
      <c r="Q76" s="367">
        <v>0</v>
      </c>
      <c r="R76" s="366">
        <v>3372449</v>
      </c>
      <c r="S76" s="367">
        <v>0</v>
      </c>
      <c r="T76" s="366">
        <v>538083602</v>
      </c>
      <c r="U76" s="366">
        <v>538083602</v>
      </c>
      <c r="V76" s="366">
        <v>3372449</v>
      </c>
      <c r="W76" s="366">
        <v>110296665</v>
      </c>
      <c r="X76" s="367">
        <v>0</v>
      </c>
      <c r="Y76" s="366">
        <v>110296665</v>
      </c>
      <c r="Z76" s="366">
        <v>110296665</v>
      </c>
      <c r="AA76" s="366">
        <v>427786937</v>
      </c>
    </row>
    <row r="77" spans="1:27" s="356" customFormat="1" ht="22.5" x14ac:dyDescent="0.25">
      <c r="A77" s="353" t="s">
        <v>795</v>
      </c>
      <c r="B77" s="353" t="s">
        <v>685</v>
      </c>
      <c r="C77" s="353" t="s">
        <v>541</v>
      </c>
      <c r="D77" s="353" t="s">
        <v>686</v>
      </c>
      <c r="E77" s="353" t="s">
        <v>556</v>
      </c>
      <c r="F77" s="354">
        <v>170000000</v>
      </c>
      <c r="G77" s="355">
        <v>0</v>
      </c>
      <c r="H77" s="355">
        <v>0</v>
      </c>
      <c r="I77" s="355">
        <v>0</v>
      </c>
      <c r="J77" s="355">
        <v>0</v>
      </c>
      <c r="K77" s="355">
        <v>0</v>
      </c>
      <c r="L77" s="355">
        <v>0</v>
      </c>
      <c r="M77" s="354">
        <v>170000000</v>
      </c>
      <c r="N77" s="355">
        <v>0</v>
      </c>
      <c r="O77" s="354">
        <v>170000000</v>
      </c>
      <c r="P77" s="354">
        <v>170000000</v>
      </c>
      <c r="Q77" s="355">
        <v>0</v>
      </c>
      <c r="R77" s="355">
        <v>0</v>
      </c>
      <c r="S77" s="355">
        <v>0</v>
      </c>
      <c r="T77" s="354">
        <v>170000000</v>
      </c>
      <c r="U77" s="354">
        <v>170000000</v>
      </c>
      <c r="V77" s="355">
        <v>0</v>
      </c>
      <c r="W77" s="355">
        <v>0</v>
      </c>
      <c r="X77" s="355">
        <v>0</v>
      </c>
      <c r="Y77" s="355">
        <v>0</v>
      </c>
      <c r="Z77" s="355">
        <v>0</v>
      </c>
      <c r="AA77" s="354">
        <v>170000000</v>
      </c>
    </row>
    <row r="79" spans="1:27" x14ac:dyDescent="0.25">
      <c r="U79" s="327"/>
      <c r="W79" s="327"/>
    </row>
    <row r="80" spans="1:27" x14ac:dyDescent="0.25">
      <c r="B80" s="166" t="s">
        <v>442</v>
      </c>
      <c r="C80" s="166"/>
      <c r="D80" s="166"/>
      <c r="E80" s="166"/>
      <c r="F80" s="166"/>
      <c r="G80" s="166"/>
      <c r="H80" s="166"/>
      <c r="I80" s="166"/>
      <c r="J80" s="166"/>
      <c r="K80" s="167">
        <f>+K62+K70+K72+K75</f>
        <v>0</v>
      </c>
      <c r="L80" s="167">
        <f>+L63+L70+L72+L75</f>
        <v>0</v>
      </c>
      <c r="M80" s="168">
        <f>M67+M69+M73</f>
        <v>1654432000</v>
      </c>
      <c r="N80" s="168"/>
      <c r="O80" s="168"/>
      <c r="P80" s="168">
        <f>P67+P69+P73</f>
        <v>1519410386</v>
      </c>
      <c r="Q80" s="168"/>
      <c r="R80" s="168"/>
      <c r="S80" s="168"/>
      <c r="T80" s="168"/>
      <c r="U80" s="168">
        <f>U67+U69+U73</f>
        <v>1480560386</v>
      </c>
      <c r="V80" s="168">
        <f>+V63+V70+V72+V75</f>
        <v>3559812112</v>
      </c>
      <c r="W80" s="168">
        <f>W67+W69+W73</f>
        <v>147076957</v>
      </c>
    </row>
    <row r="81" spans="2:23" x14ac:dyDescent="0.25">
      <c r="B81" s="170" t="s">
        <v>730</v>
      </c>
      <c r="C81" s="170"/>
      <c r="D81" s="170"/>
      <c r="E81" s="170"/>
      <c r="F81" s="170"/>
      <c r="G81" s="170"/>
      <c r="H81" s="170"/>
      <c r="I81" s="170"/>
      <c r="J81" s="170"/>
      <c r="K81" s="171">
        <f>+K68+K73+K74</f>
        <v>0</v>
      </c>
      <c r="L81" s="171">
        <f>+L68+L73+L74</f>
        <v>0</v>
      </c>
      <c r="M81" s="172">
        <f>M71+M72</f>
        <v>1234360000</v>
      </c>
      <c r="N81" s="172"/>
      <c r="O81" s="172"/>
      <c r="P81" s="172">
        <f>P71+P72</f>
        <v>222725000</v>
      </c>
      <c r="Q81" s="172"/>
      <c r="R81" s="172"/>
      <c r="S81" s="172"/>
      <c r="T81" s="172"/>
      <c r="U81" s="172">
        <f>U71+U72</f>
        <v>222725000</v>
      </c>
      <c r="V81" s="172">
        <f>+V68+V73+V74</f>
        <v>143031614</v>
      </c>
      <c r="W81" s="172">
        <f>W71+W72</f>
        <v>17699999</v>
      </c>
    </row>
    <row r="82" spans="2:23" x14ac:dyDescent="0.25">
      <c r="B82" s="174" t="s">
        <v>731</v>
      </c>
      <c r="C82" s="174"/>
      <c r="D82" s="174"/>
      <c r="E82" s="174"/>
      <c r="F82" s="174"/>
      <c r="G82" s="174"/>
      <c r="H82" s="174"/>
      <c r="I82" s="174"/>
      <c r="J82" s="174"/>
      <c r="K82" s="175">
        <f>+K61+K71+K77</f>
        <v>0</v>
      </c>
      <c r="L82" s="175">
        <f>+L62+L71+L77</f>
        <v>0</v>
      </c>
      <c r="M82" s="176">
        <f>M75+M77</f>
        <v>695900000</v>
      </c>
      <c r="N82" s="176"/>
      <c r="O82" s="176"/>
      <c r="P82" s="176">
        <f>P75+P77</f>
        <v>614625000</v>
      </c>
      <c r="Q82" s="176"/>
      <c r="R82" s="176"/>
      <c r="S82" s="176"/>
      <c r="T82" s="176"/>
      <c r="U82" s="176">
        <f>U75+U77</f>
        <v>614625000</v>
      </c>
      <c r="V82" s="176">
        <f>+V62+V71+V77</f>
        <v>4000000</v>
      </c>
      <c r="W82" s="176">
        <f>W75+W77</f>
        <v>52916875</v>
      </c>
    </row>
    <row r="83" spans="2:23" x14ac:dyDescent="0.25">
      <c r="B83" s="178" t="s">
        <v>732</v>
      </c>
      <c r="C83" s="178"/>
      <c r="D83" s="178"/>
      <c r="E83" s="178"/>
      <c r="F83" s="178"/>
      <c r="G83" s="178"/>
      <c r="H83" s="178"/>
      <c r="I83" s="178"/>
      <c r="J83" s="178"/>
      <c r="K83" s="179">
        <f>+K76</f>
        <v>0</v>
      </c>
      <c r="L83" s="179">
        <f>+L76</f>
        <v>0</v>
      </c>
      <c r="M83" s="180">
        <f>M74</f>
        <v>238770000</v>
      </c>
      <c r="N83" s="180"/>
      <c r="O83" s="180"/>
      <c r="P83" s="180">
        <f>P74</f>
        <v>219610000</v>
      </c>
      <c r="Q83" s="180"/>
      <c r="R83" s="180"/>
      <c r="S83" s="180"/>
      <c r="T83" s="180"/>
      <c r="U83" s="180">
        <f>U74</f>
        <v>219610000</v>
      </c>
      <c r="V83" s="180">
        <f>+V76</f>
        <v>3372449</v>
      </c>
      <c r="W83" s="180">
        <f>W74</f>
        <v>47870458</v>
      </c>
    </row>
    <row r="84" spans="2:23" x14ac:dyDescent="0.25">
      <c r="B84" s="182" t="s">
        <v>733</v>
      </c>
      <c r="C84" s="182"/>
      <c r="D84" s="182"/>
      <c r="E84" s="182"/>
      <c r="F84" s="182"/>
      <c r="G84" s="182"/>
      <c r="H84" s="182"/>
      <c r="I84" s="182"/>
      <c r="J84" s="182"/>
      <c r="K84" s="183">
        <f>+K78</f>
        <v>0</v>
      </c>
      <c r="L84" s="183">
        <f>+L78</f>
        <v>0</v>
      </c>
      <c r="M84" s="184">
        <f>M76</f>
        <v>541456051</v>
      </c>
      <c r="N84" s="184"/>
      <c r="O84" s="184"/>
      <c r="P84" s="184">
        <f>P76</f>
        <v>538083602</v>
      </c>
      <c r="Q84" s="184"/>
      <c r="R84" s="184"/>
      <c r="S84" s="184"/>
      <c r="T84" s="184"/>
      <c r="U84" s="184">
        <f>U76</f>
        <v>538083602</v>
      </c>
      <c r="V84" s="184">
        <f>+V78</f>
        <v>0</v>
      </c>
      <c r="W84" s="184">
        <f>W76</f>
        <v>110296665</v>
      </c>
    </row>
    <row r="85" spans="2:23" x14ac:dyDescent="0.25">
      <c r="B85" s="186"/>
      <c r="C85" s="186"/>
      <c r="D85" s="186"/>
      <c r="E85" s="186"/>
      <c r="F85" s="186"/>
      <c r="G85" s="186"/>
      <c r="H85" s="186"/>
      <c r="I85" s="186"/>
      <c r="J85" s="186"/>
      <c r="K85" s="186"/>
      <c r="L85" s="186"/>
      <c r="M85" s="186"/>
      <c r="N85" s="186"/>
      <c r="O85" s="186"/>
      <c r="P85" s="186"/>
      <c r="Q85" s="186"/>
      <c r="R85" s="186"/>
      <c r="S85" s="186"/>
      <c r="T85" s="186"/>
      <c r="U85" s="187"/>
      <c r="V85" s="186"/>
      <c r="W85" s="186"/>
    </row>
    <row r="86" spans="2:23" x14ac:dyDescent="0.25">
      <c r="B86" s="186"/>
      <c r="C86" s="186"/>
      <c r="D86" s="186"/>
      <c r="E86" s="186"/>
      <c r="F86" s="186"/>
      <c r="G86" s="186"/>
      <c r="H86" s="186"/>
      <c r="I86" s="186"/>
      <c r="J86" s="186"/>
      <c r="K86" s="189">
        <f>SUM(K80:K84)</f>
        <v>0</v>
      </c>
      <c r="L86" s="189">
        <f t="shared" ref="L86:R86" si="0">SUM(L80:L84)</f>
        <v>0</v>
      </c>
      <c r="M86" s="189">
        <f>SUM(M80:M84)</f>
        <v>4364918051</v>
      </c>
      <c r="N86" s="189">
        <f t="shared" si="0"/>
        <v>0</v>
      </c>
      <c r="O86" s="189">
        <f t="shared" si="0"/>
        <v>0</v>
      </c>
      <c r="P86" s="189">
        <f>SUM(P80:P84)</f>
        <v>3114453988</v>
      </c>
      <c r="Q86" s="189">
        <f t="shared" si="0"/>
        <v>0</v>
      </c>
      <c r="R86" s="189">
        <f t="shared" si="0"/>
        <v>0</v>
      </c>
      <c r="S86" s="189">
        <f>SUM(S80:S84)</f>
        <v>0</v>
      </c>
      <c r="T86" s="186"/>
      <c r="U86" s="189">
        <f>U80+U81+U82+U83+U84</f>
        <v>3075603988</v>
      </c>
      <c r="V86" s="186"/>
      <c r="W86" s="189">
        <f>W80+W81+W82+W83+W84</f>
        <v>375860954</v>
      </c>
    </row>
  </sheetData>
  <mergeCells count="6">
    <mergeCell ref="A6:AA6"/>
    <mergeCell ref="A1:AA1"/>
    <mergeCell ref="A2:AA2"/>
    <mergeCell ref="A3:AA3"/>
    <mergeCell ref="A4:AA4"/>
    <mergeCell ref="A5:AA5"/>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B4695-E141-4EAE-ACEE-6F8A93AFDA95}">
  <dimension ref="B1:F8"/>
  <sheetViews>
    <sheetView workbookViewId="0">
      <selection activeCell="C5" sqref="C5"/>
    </sheetView>
  </sheetViews>
  <sheetFormatPr baseColWidth="10" defaultRowHeight="14.25" x14ac:dyDescent="0.2"/>
  <cols>
    <col min="1" max="1" width="11.42578125" style="1"/>
    <col min="2" max="2" width="28.42578125" style="1" bestFit="1" customWidth="1"/>
    <col min="3" max="3" width="25.28515625" style="1" customWidth="1"/>
    <col min="4" max="16384" width="11.42578125" style="1"/>
  </cols>
  <sheetData>
    <row r="1" spans="2:6" ht="15" x14ac:dyDescent="0.25">
      <c r="B1" s="460" t="s">
        <v>104</v>
      </c>
      <c r="C1" t="s">
        <v>57</v>
      </c>
    </row>
    <row r="3" spans="2:6" ht="15" x14ac:dyDescent="0.25">
      <c r="B3" s="460" t="s">
        <v>439</v>
      </c>
      <c r="C3" t="s">
        <v>440</v>
      </c>
      <c r="E3" s="1" t="s">
        <v>441</v>
      </c>
      <c r="F3" s="1" t="s">
        <v>442</v>
      </c>
    </row>
    <row r="4" spans="2:6" ht="15" x14ac:dyDescent="0.25">
      <c r="B4" s="461">
        <v>182</v>
      </c>
      <c r="C4" s="462">
        <v>0.32842584241753364</v>
      </c>
      <c r="E4" s="88">
        <v>182</v>
      </c>
      <c r="F4" s="89">
        <v>0.32842584241753364</v>
      </c>
    </row>
    <row r="5" spans="2:6" ht="15" x14ac:dyDescent="0.25">
      <c r="B5" s="461">
        <v>183</v>
      </c>
      <c r="C5" s="462">
        <v>2.8563711555411205E-2</v>
      </c>
      <c r="E5" s="88">
        <v>183</v>
      </c>
      <c r="F5" s="89">
        <v>2.8563711555411205E-2</v>
      </c>
    </row>
    <row r="6" spans="2:6" ht="15" x14ac:dyDescent="0.25">
      <c r="B6" s="461">
        <v>184</v>
      </c>
      <c r="C6" s="462">
        <v>0.51349063241167026</v>
      </c>
      <c r="E6" s="88">
        <v>184</v>
      </c>
      <c r="F6" s="89">
        <v>0.51349063241167026</v>
      </c>
    </row>
    <row r="7" spans="2:6" ht="15" x14ac:dyDescent="0.25">
      <c r="B7" s="461">
        <v>185</v>
      </c>
      <c r="C7" s="462">
        <v>0.12951981361538489</v>
      </c>
      <c r="E7" s="88">
        <v>185</v>
      </c>
      <c r="F7" s="89">
        <v>0.12951981361538489</v>
      </c>
    </row>
    <row r="8" spans="2:6" ht="15" x14ac:dyDescent="0.25">
      <c r="B8" s="461" t="s">
        <v>443</v>
      </c>
      <c r="C8" s="462">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CD264-F758-4E02-AB3F-F6ECC5D879B2}">
  <dimension ref="A1:W23"/>
  <sheetViews>
    <sheetView showGridLines="0" zoomScale="90" zoomScaleNormal="90" zoomScaleSheetLayoutView="80" workbookViewId="0">
      <selection activeCell="D3" sqref="D3:D9"/>
    </sheetView>
  </sheetViews>
  <sheetFormatPr baseColWidth="10" defaultRowHeight="14.25" x14ac:dyDescent="0.2"/>
  <cols>
    <col min="1" max="1" width="11.42578125" style="92"/>
    <col min="2" max="2" width="51.5703125" style="1" customWidth="1"/>
    <col min="3" max="3" width="14.28515625" style="92" bestFit="1" customWidth="1"/>
    <col min="4" max="4" width="16.140625" style="74" customWidth="1"/>
    <col min="5" max="5" width="10.5703125" style="92" customWidth="1"/>
    <col min="6" max="6" width="10.5703125" style="74" customWidth="1"/>
    <col min="7" max="7" width="10.5703125" style="24" customWidth="1"/>
    <col min="8" max="8" width="11.42578125" style="24"/>
    <col min="9" max="18" width="12.5703125" style="24" customWidth="1"/>
    <col min="19" max="19" width="15.42578125" style="92" customWidth="1"/>
    <col min="20" max="21" width="11.42578125" style="92" customWidth="1"/>
    <col min="22" max="16384" width="11.42578125" style="1"/>
  </cols>
  <sheetData>
    <row r="1" spans="1:21" ht="15" x14ac:dyDescent="0.25">
      <c r="G1" s="419" t="s">
        <v>459</v>
      </c>
      <c r="H1" s="420"/>
      <c r="I1" s="420"/>
      <c r="J1" s="420"/>
      <c r="K1" s="420"/>
      <c r="L1" s="420"/>
      <c r="M1" s="420"/>
      <c r="N1" s="420"/>
      <c r="O1" s="420"/>
      <c r="P1" s="420"/>
      <c r="Q1" s="420"/>
      <c r="R1" s="420"/>
    </row>
    <row r="2" spans="1:21" s="74" customFormat="1" ht="24" x14ac:dyDescent="0.25">
      <c r="A2" s="98" t="s">
        <v>445</v>
      </c>
      <c r="B2" s="98" t="s">
        <v>460</v>
      </c>
      <c r="C2" s="98" t="s">
        <v>461</v>
      </c>
      <c r="D2" s="99" t="s">
        <v>462</v>
      </c>
      <c r="E2" s="99" t="s">
        <v>463</v>
      </c>
      <c r="F2" s="99" t="s">
        <v>464</v>
      </c>
      <c r="G2" s="100" t="s">
        <v>465</v>
      </c>
      <c r="H2" s="100" t="s">
        <v>466</v>
      </c>
      <c r="I2" s="100" t="s">
        <v>467</v>
      </c>
      <c r="J2" s="100" t="s">
        <v>468</v>
      </c>
      <c r="K2" s="100" t="s">
        <v>469</v>
      </c>
      <c r="L2" s="100" t="s">
        <v>470</v>
      </c>
      <c r="M2" s="100" t="s">
        <v>471</v>
      </c>
      <c r="N2" s="100" t="s">
        <v>472</v>
      </c>
      <c r="O2" s="100" t="s">
        <v>473</v>
      </c>
      <c r="P2" s="100" t="s">
        <v>474</v>
      </c>
      <c r="Q2" s="100" t="s">
        <v>475</v>
      </c>
      <c r="R2" s="101" t="s">
        <v>476</v>
      </c>
      <c r="S2" s="102" t="s">
        <v>477</v>
      </c>
      <c r="T2" s="102" t="s">
        <v>478</v>
      </c>
      <c r="U2" s="102" t="s">
        <v>479</v>
      </c>
    </row>
    <row r="3" spans="1:21" ht="15" x14ac:dyDescent="0.2">
      <c r="A3" s="103" t="s">
        <v>480</v>
      </c>
      <c r="B3" s="104" t="s">
        <v>481</v>
      </c>
      <c r="C3" s="105">
        <f>+SUM(G3:R3)</f>
        <v>160</v>
      </c>
      <c r="D3" s="421">
        <v>1476</v>
      </c>
      <c r="E3" s="59">
        <v>657</v>
      </c>
      <c r="F3" s="85">
        <f>+E3/9</f>
        <v>73</v>
      </c>
      <c r="G3" s="78">
        <v>0</v>
      </c>
      <c r="H3" s="78">
        <v>75</v>
      </c>
      <c r="I3" s="78">
        <v>85</v>
      </c>
      <c r="J3" s="78"/>
      <c r="K3" s="78"/>
      <c r="L3" s="78"/>
      <c r="M3" s="78"/>
      <c r="N3" s="78"/>
      <c r="O3" s="78"/>
      <c r="P3" s="78"/>
      <c r="Q3" s="78"/>
      <c r="R3" s="78"/>
      <c r="S3" s="84">
        <f>+F3*9</f>
        <v>657</v>
      </c>
      <c r="T3" s="85">
        <f>SUM(G3:R3)</f>
        <v>160</v>
      </c>
      <c r="U3" s="106">
        <f t="shared" ref="U3:U17" si="0">+T3-S3</f>
        <v>-497</v>
      </c>
    </row>
    <row r="4" spans="1:21" ht="15" x14ac:dyDescent="0.2">
      <c r="A4" s="103" t="s">
        <v>480</v>
      </c>
      <c r="B4" s="104" t="s">
        <v>482</v>
      </c>
      <c r="C4" s="105">
        <f>+SUM(G4:R4)</f>
        <v>0</v>
      </c>
      <c r="D4" s="422"/>
      <c r="E4" s="59">
        <v>30</v>
      </c>
      <c r="F4" s="84">
        <f t="shared" ref="F4:F23" si="1">+E4/9</f>
        <v>3.3333333333333335</v>
      </c>
      <c r="G4" s="78">
        <v>0</v>
      </c>
      <c r="H4" s="78">
        <v>0</v>
      </c>
      <c r="I4" s="78">
        <v>0</v>
      </c>
      <c r="J4" s="78"/>
      <c r="K4" s="78"/>
      <c r="L4" s="78"/>
      <c r="M4" s="78"/>
      <c r="N4" s="78"/>
      <c r="O4" s="78"/>
      <c r="P4" s="78"/>
      <c r="Q4" s="78"/>
      <c r="R4" s="78"/>
      <c r="S4" s="84">
        <f t="shared" ref="S4:S23" si="2">+F4*9</f>
        <v>30</v>
      </c>
      <c r="T4" s="85">
        <f t="shared" ref="T4:T23" si="3">SUM(G4:R4)</f>
        <v>0</v>
      </c>
      <c r="U4" s="107">
        <f t="shared" si="0"/>
        <v>-30</v>
      </c>
    </row>
    <row r="5" spans="1:21" ht="15" x14ac:dyDescent="0.2">
      <c r="A5" s="103" t="s">
        <v>480</v>
      </c>
      <c r="B5" s="104" t="s">
        <v>483</v>
      </c>
      <c r="C5" s="105">
        <f t="shared" ref="C5:C23" si="4">+SUM(G5:R5)</f>
        <v>0</v>
      </c>
      <c r="D5" s="422"/>
      <c r="E5" s="59">
        <v>10</v>
      </c>
      <c r="F5" s="84">
        <f t="shared" si="1"/>
        <v>1.1111111111111112</v>
      </c>
      <c r="G5" s="78">
        <v>0</v>
      </c>
      <c r="H5" s="78">
        <v>0</v>
      </c>
      <c r="I5" s="78">
        <v>0</v>
      </c>
      <c r="J5" s="78"/>
      <c r="K5" s="78"/>
      <c r="L5" s="78"/>
      <c r="M5" s="78"/>
      <c r="N5" s="78"/>
      <c r="O5" s="78"/>
      <c r="P5" s="78"/>
      <c r="Q5" s="78"/>
      <c r="R5" s="78"/>
      <c r="S5" s="84">
        <f t="shared" si="2"/>
        <v>10</v>
      </c>
      <c r="T5" s="85">
        <f t="shared" si="3"/>
        <v>0</v>
      </c>
      <c r="U5" s="106">
        <f t="shared" si="0"/>
        <v>-10</v>
      </c>
    </row>
    <row r="6" spans="1:21" ht="15" x14ac:dyDescent="0.2">
      <c r="A6" s="103" t="s">
        <v>480</v>
      </c>
      <c r="B6" s="104" t="s">
        <v>484</v>
      </c>
      <c r="C6" s="105">
        <f>+SUM(G6:R6)</f>
        <v>0</v>
      </c>
      <c r="D6" s="422"/>
      <c r="E6" s="59">
        <v>65</v>
      </c>
      <c r="F6" s="84">
        <f t="shared" si="1"/>
        <v>7.2222222222222223</v>
      </c>
      <c r="G6" s="78">
        <v>0</v>
      </c>
      <c r="H6" s="78">
        <v>0</v>
      </c>
      <c r="I6" s="78">
        <v>0</v>
      </c>
      <c r="J6" s="78"/>
      <c r="K6" s="78"/>
      <c r="L6" s="78"/>
      <c r="M6" s="78"/>
      <c r="N6" s="78"/>
      <c r="O6" s="78"/>
      <c r="P6" s="78"/>
      <c r="Q6" s="78"/>
      <c r="R6" s="78"/>
      <c r="S6" s="84">
        <f t="shared" si="2"/>
        <v>65</v>
      </c>
      <c r="T6" s="85">
        <f t="shared" si="3"/>
        <v>0</v>
      </c>
      <c r="U6" s="107">
        <f t="shared" si="0"/>
        <v>-65</v>
      </c>
    </row>
    <row r="7" spans="1:21" ht="15" x14ac:dyDescent="0.2">
      <c r="A7" s="103" t="s">
        <v>480</v>
      </c>
      <c r="B7" s="104" t="s">
        <v>485</v>
      </c>
      <c r="C7" s="105">
        <f t="shared" si="4"/>
        <v>49</v>
      </c>
      <c r="D7" s="422"/>
      <c r="E7" s="59">
        <v>360</v>
      </c>
      <c r="F7" s="84">
        <f t="shared" si="1"/>
        <v>40</v>
      </c>
      <c r="G7" s="78">
        <v>0</v>
      </c>
      <c r="H7" s="78">
        <v>12</v>
      </c>
      <c r="I7" s="78">
        <v>37</v>
      </c>
      <c r="J7" s="78"/>
      <c r="K7" s="78"/>
      <c r="L7" s="78"/>
      <c r="M7" s="78"/>
      <c r="N7" s="78"/>
      <c r="O7" s="78"/>
      <c r="P7" s="78"/>
      <c r="Q7" s="78"/>
      <c r="R7" s="78"/>
      <c r="S7" s="84">
        <f t="shared" si="2"/>
        <v>360</v>
      </c>
      <c r="T7" s="85">
        <f t="shared" si="3"/>
        <v>49</v>
      </c>
      <c r="U7" s="106">
        <f t="shared" si="0"/>
        <v>-311</v>
      </c>
    </row>
    <row r="8" spans="1:21" ht="15" x14ac:dyDescent="0.2">
      <c r="A8" s="103" t="s">
        <v>480</v>
      </c>
      <c r="B8" s="104" t="s">
        <v>486</v>
      </c>
      <c r="C8" s="105">
        <f t="shared" si="4"/>
        <v>85</v>
      </c>
      <c r="D8" s="422"/>
      <c r="E8" s="59">
        <v>657</v>
      </c>
      <c r="F8" s="84">
        <f t="shared" si="1"/>
        <v>73</v>
      </c>
      <c r="G8" s="78">
        <v>0</v>
      </c>
      <c r="H8" s="78">
        <v>0</v>
      </c>
      <c r="I8" s="78">
        <v>85</v>
      </c>
      <c r="J8" s="78"/>
      <c r="K8" s="78"/>
      <c r="L8" s="78"/>
      <c r="M8" s="78"/>
      <c r="N8" s="78"/>
      <c r="O8" s="78"/>
      <c r="P8" s="78"/>
      <c r="Q8" s="78"/>
      <c r="R8" s="78"/>
      <c r="S8" s="84">
        <f t="shared" si="2"/>
        <v>657</v>
      </c>
      <c r="T8" s="85">
        <f t="shared" si="3"/>
        <v>85</v>
      </c>
      <c r="U8" s="106">
        <f t="shared" si="0"/>
        <v>-572</v>
      </c>
    </row>
    <row r="9" spans="1:21" ht="15" x14ac:dyDescent="0.2">
      <c r="A9" s="103" t="s">
        <v>480</v>
      </c>
      <c r="B9" s="104" t="s">
        <v>487</v>
      </c>
      <c r="C9" s="105">
        <f t="shared" si="4"/>
        <v>0</v>
      </c>
      <c r="D9" s="423"/>
      <c r="E9" s="59">
        <v>1000</v>
      </c>
      <c r="F9" s="84">
        <f t="shared" si="1"/>
        <v>111.11111111111111</v>
      </c>
      <c r="G9" s="78">
        <v>0</v>
      </c>
      <c r="H9" s="78">
        <v>0</v>
      </c>
      <c r="I9" s="78">
        <v>0</v>
      </c>
      <c r="J9" s="78"/>
      <c r="K9" s="78"/>
      <c r="L9" s="78"/>
      <c r="M9" s="78"/>
      <c r="N9" s="78"/>
      <c r="O9" s="78"/>
      <c r="P9" s="78"/>
      <c r="Q9" s="78"/>
      <c r="R9" s="78"/>
      <c r="S9" s="84">
        <f t="shared" si="2"/>
        <v>1000</v>
      </c>
      <c r="T9" s="85">
        <f t="shared" si="3"/>
        <v>0</v>
      </c>
      <c r="U9" s="106">
        <f t="shared" si="0"/>
        <v>-1000</v>
      </c>
    </row>
    <row r="10" spans="1:21" ht="15" x14ac:dyDescent="0.25">
      <c r="A10" s="108" t="s">
        <v>442</v>
      </c>
      <c r="B10" s="109" t="s">
        <v>495</v>
      </c>
      <c r="C10" s="112">
        <f>+SUM(G10:R10)</f>
        <v>0</v>
      </c>
      <c r="D10" s="113">
        <v>0.3</v>
      </c>
      <c r="E10" s="114">
        <v>0.3</v>
      </c>
      <c r="F10" s="115">
        <f>+E10/9</f>
        <v>3.3333333333333333E-2</v>
      </c>
      <c r="G10" s="116">
        <v>0</v>
      </c>
      <c r="H10" s="116">
        <v>0</v>
      </c>
      <c r="I10" s="116">
        <v>0</v>
      </c>
      <c r="J10" s="117"/>
      <c r="K10" s="117"/>
      <c r="L10" s="117"/>
      <c r="M10" s="117"/>
      <c r="N10" s="117"/>
      <c r="O10" s="117"/>
      <c r="P10" s="117"/>
      <c r="Q10" s="117"/>
      <c r="R10" s="78"/>
      <c r="S10" s="84">
        <f>+F10*9</f>
        <v>0.3</v>
      </c>
      <c r="T10" s="115">
        <f>SUM(G10:R10)</f>
        <v>0</v>
      </c>
      <c r="U10" s="118">
        <v>0.01</v>
      </c>
    </row>
    <row r="11" spans="1:21" ht="15" x14ac:dyDescent="0.2">
      <c r="A11" s="108" t="s">
        <v>442</v>
      </c>
      <c r="B11" s="109" t="s">
        <v>488</v>
      </c>
      <c r="C11" s="110">
        <f t="shared" si="4"/>
        <v>144</v>
      </c>
      <c r="D11" s="421">
        <v>0</v>
      </c>
      <c r="E11" s="59">
        <v>0</v>
      </c>
      <c r="F11" s="84">
        <f t="shared" si="1"/>
        <v>0</v>
      </c>
      <c r="G11" s="78">
        <v>0</v>
      </c>
      <c r="H11" s="78">
        <v>0</v>
      </c>
      <c r="I11" s="78">
        <v>144</v>
      </c>
      <c r="J11" s="78"/>
      <c r="K11" s="78"/>
      <c r="L11" s="78"/>
      <c r="M11" s="78"/>
      <c r="N11" s="78"/>
      <c r="O11" s="78"/>
      <c r="P11" s="78"/>
      <c r="Q11" s="78"/>
      <c r="R11" s="78"/>
      <c r="S11" s="84">
        <f t="shared" si="2"/>
        <v>0</v>
      </c>
      <c r="T11" s="85">
        <f t="shared" si="3"/>
        <v>144</v>
      </c>
      <c r="U11" s="107">
        <f t="shared" si="0"/>
        <v>144</v>
      </c>
    </row>
    <row r="12" spans="1:21" ht="15" x14ac:dyDescent="0.2">
      <c r="A12" s="108" t="s">
        <v>442</v>
      </c>
      <c r="B12" s="109" t="s">
        <v>489</v>
      </c>
      <c r="C12" s="110">
        <f t="shared" si="4"/>
        <v>11</v>
      </c>
      <c r="D12" s="422"/>
      <c r="E12" s="59">
        <v>0</v>
      </c>
      <c r="F12" s="84">
        <f t="shared" si="1"/>
        <v>0</v>
      </c>
      <c r="G12" s="78">
        <v>0</v>
      </c>
      <c r="H12" s="78">
        <v>0</v>
      </c>
      <c r="I12" s="78">
        <v>11</v>
      </c>
      <c r="J12" s="78"/>
      <c r="K12" s="78"/>
      <c r="L12" s="78"/>
      <c r="M12" s="78"/>
      <c r="N12" s="78"/>
      <c r="O12" s="78"/>
      <c r="P12" s="78"/>
      <c r="Q12" s="78"/>
      <c r="R12" s="78"/>
      <c r="S12" s="84">
        <f t="shared" si="2"/>
        <v>0</v>
      </c>
      <c r="T12" s="85">
        <f t="shared" si="3"/>
        <v>11</v>
      </c>
      <c r="U12" s="107">
        <f t="shared" si="0"/>
        <v>11</v>
      </c>
    </row>
    <row r="13" spans="1:21" ht="15" x14ac:dyDescent="0.2">
      <c r="A13" s="108" t="s">
        <v>442</v>
      </c>
      <c r="B13" s="109" t="s">
        <v>490</v>
      </c>
      <c r="C13" s="110">
        <f t="shared" si="4"/>
        <v>127</v>
      </c>
      <c r="D13" s="422"/>
      <c r="E13" s="59">
        <v>0</v>
      </c>
      <c r="F13" s="84">
        <f t="shared" si="1"/>
        <v>0</v>
      </c>
      <c r="G13" s="78">
        <v>0</v>
      </c>
      <c r="H13" s="78">
        <v>0</v>
      </c>
      <c r="I13" s="78">
        <v>127</v>
      </c>
      <c r="J13" s="78"/>
      <c r="K13" s="78"/>
      <c r="L13" s="78"/>
      <c r="M13" s="78"/>
      <c r="N13" s="78"/>
      <c r="O13" s="78"/>
      <c r="P13" s="78"/>
      <c r="Q13" s="78"/>
      <c r="R13" s="78"/>
      <c r="S13" s="84">
        <f t="shared" si="2"/>
        <v>0</v>
      </c>
      <c r="T13" s="85">
        <f t="shared" si="3"/>
        <v>127</v>
      </c>
      <c r="U13" s="107">
        <f t="shared" si="0"/>
        <v>127</v>
      </c>
    </row>
    <row r="14" spans="1:21" ht="15" x14ac:dyDescent="0.2">
      <c r="A14" s="108" t="s">
        <v>442</v>
      </c>
      <c r="B14" s="109" t="s">
        <v>491</v>
      </c>
      <c r="C14" s="110">
        <f t="shared" si="4"/>
        <v>47</v>
      </c>
      <c r="D14" s="422"/>
      <c r="E14" s="59">
        <v>360</v>
      </c>
      <c r="F14" s="84">
        <f t="shared" si="1"/>
        <v>40</v>
      </c>
      <c r="G14" s="78">
        <v>0</v>
      </c>
      <c r="H14" s="78">
        <v>32</v>
      </c>
      <c r="I14" s="78">
        <v>15</v>
      </c>
      <c r="J14" s="78"/>
      <c r="K14" s="78"/>
      <c r="L14" s="78"/>
      <c r="M14" s="78"/>
      <c r="N14" s="78"/>
      <c r="O14" s="78"/>
      <c r="P14" s="78"/>
      <c r="Q14" s="78"/>
      <c r="R14" s="78"/>
      <c r="S14" s="84">
        <f t="shared" si="2"/>
        <v>360</v>
      </c>
      <c r="T14" s="85">
        <f t="shared" si="3"/>
        <v>47</v>
      </c>
      <c r="U14" s="107">
        <f t="shared" si="0"/>
        <v>-313</v>
      </c>
    </row>
    <row r="15" spans="1:21" ht="15" x14ac:dyDescent="0.2">
      <c r="A15" s="108" t="s">
        <v>442</v>
      </c>
      <c r="B15" s="109" t="s">
        <v>492</v>
      </c>
      <c r="C15" s="110">
        <f t="shared" si="4"/>
        <v>87</v>
      </c>
      <c r="D15" s="422"/>
      <c r="E15" s="59">
        <v>360</v>
      </c>
      <c r="F15" s="84">
        <f t="shared" si="1"/>
        <v>40</v>
      </c>
      <c r="G15" s="78">
        <v>0</v>
      </c>
      <c r="H15" s="78">
        <v>47</v>
      </c>
      <c r="I15" s="78">
        <v>40</v>
      </c>
      <c r="J15" s="78"/>
      <c r="K15" s="78"/>
      <c r="L15" s="78"/>
      <c r="M15" s="78"/>
      <c r="N15" s="78"/>
      <c r="O15" s="78"/>
      <c r="P15" s="78"/>
      <c r="Q15" s="78"/>
      <c r="R15" s="78"/>
      <c r="S15" s="84">
        <f t="shared" si="2"/>
        <v>360</v>
      </c>
      <c r="T15" s="85">
        <f t="shared" si="3"/>
        <v>87</v>
      </c>
      <c r="U15" s="107">
        <f t="shared" si="0"/>
        <v>-273</v>
      </c>
    </row>
    <row r="16" spans="1:21" ht="15" x14ac:dyDescent="0.2">
      <c r="A16" s="108" t="s">
        <v>442</v>
      </c>
      <c r="B16" s="109" t="s">
        <v>493</v>
      </c>
      <c r="C16" s="110">
        <f t="shared" si="4"/>
        <v>183</v>
      </c>
      <c r="D16" s="423"/>
      <c r="E16" s="59">
        <v>360</v>
      </c>
      <c r="F16" s="84">
        <f t="shared" si="1"/>
        <v>40</v>
      </c>
      <c r="G16" s="78">
        <v>0</v>
      </c>
      <c r="H16" s="78">
        <v>91</v>
      </c>
      <c r="I16" s="78">
        <v>92</v>
      </c>
      <c r="J16" s="78"/>
      <c r="K16" s="78"/>
      <c r="L16" s="78"/>
      <c r="M16" s="78"/>
      <c r="N16" s="78"/>
      <c r="O16" s="78"/>
      <c r="P16" s="78"/>
      <c r="Q16" s="78"/>
      <c r="R16" s="78"/>
      <c r="S16" s="84">
        <f t="shared" si="2"/>
        <v>360</v>
      </c>
      <c r="T16" s="85">
        <f t="shared" si="3"/>
        <v>183</v>
      </c>
      <c r="U16" s="107">
        <f t="shared" si="0"/>
        <v>-177</v>
      </c>
    </row>
    <row r="17" spans="1:23" ht="15" x14ac:dyDescent="0.2">
      <c r="A17" s="108" t="s">
        <v>442</v>
      </c>
      <c r="B17" s="109" t="s">
        <v>494</v>
      </c>
      <c r="C17" s="110">
        <f t="shared" si="4"/>
        <v>41</v>
      </c>
      <c r="D17" s="59">
        <v>2104</v>
      </c>
      <c r="E17" s="111">
        <f>+D17</f>
        <v>2104</v>
      </c>
      <c r="F17" s="84">
        <f t="shared" si="1"/>
        <v>233.77777777777777</v>
      </c>
      <c r="G17" s="78">
        <v>0</v>
      </c>
      <c r="H17" s="78">
        <v>0</v>
      </c>
      <c r="I17" s="78">
        <v>41</v>
      </c>
      <c r="J17" s="78"/>
      <c r="K17" s="78"/>
      <c r="L17" s="78"/>
      <c r="M17" s="78"/>
      <c r="N17" s="78"/>
      <c r="O17" s="78"/>
      <c r="P17" s="78"/>
      <c r="Q17" s="78"/>
      <c r="R17" s="78"/>
      <c r="S17" s="84">
        <f t="shared" si="2"/>
        <v>2104</v>
      </c>
      <c r="T17" s="85">
        <f t="shared" si="3"/>
        <v>41</v>
      </c>
      <c r="U17" s="106">
        <f t="shared" si="0"/>
        <v>-2063</v>
      </c>
    </row>
    <row r="18" spans="1:23" ht="15" x14ac:dyDescent="0.25">
      <c r="A18" s="26" t="s">
        <v>442</v>
      </c>
      <c r="B18" s="76" t="s">
        <v>496</v>
      </c>
      <c r="C18" s="85">
        <f t="shared" si="4"/>
        <v>1220</v>
      </c>
      <c r="D18" s="59" t="s">
        <v>497</v>
      </c>
      <c r="E18" s="59">
        <v>0</v>
      </c>
      <c r="F18" s="84">
        <f t="shared" si="1"/>
        <v>0</v>
      </c>
      <c r="G18" s="78">
        <v>0</v>
      </c>
      <c r="H18" s="78">
        <v>1165</v>
      </c>
      <c r="I18" s="78">
        <v>55</v>
      </c>
      <c r="J18" s="119"/>
      <c r="K18" s="120"/>
      <c r="L18" s="120"/>
      <c r="M18" s="119"/>
      <c r="N18" s="119"/>
      <c r="O18" s="119"/>
      <c r="P18" s="119"/>
      <c r="Q18" s="119"/>
      <c r="R18" s="78"/>
      <c r="S18" s="84">
        <f t="shared" si="2"/>
        <v>0</v>
      </c>
      <c r="T18" s="85">
        <f t="shared" si="3"/>
        <v>1220</v>
      </c>
      <c r="U18" s="106">
        <f t="shared" ref="U18:U23" si="5">+T18-S18</f>
        <v>1220</v>
      </c>
      <c r="W18" s="1" t="s">
        <v>498</v>
      </c>
    </row>
    <row r="19" spans="1:23" ht="15" x14ac:dyDescent="0.2">
      <c r="A19" s="121" t="s">
        <v>499</v>
      </c>
      <c r="B19" s="122" t="s">
        <v>500</v>
      </c>
      <c r="C19" s="123">
        <f t="shared" si="4"/>
        <v>232</v>
      </c>
      <c r="D19" s="59">
        <v>1932</v>
      </c>
      <c r="E19" s="59">
        <v>2007</v>
      </c>
      <c r="F19" s="84">
        <f t="shared" si="1"/>
        <v>223</v>
      </c>
      <c r="G19" s="85">
        <v>48</v>
      </c>
      <c r="H19" s="85">
        <v>104</v>
      </c>
      <c r="I19" s="85">
        <v>80</v>
      </c>
      <c r="J19" s="85"/>
      <c r="K19" s="85"/>
      <c r="L19" s="85"/>
      <c r="M19" s="85"/>
      <c r="N19" s="85"/>
      <c r="O19" s="85"/>
      <c r="P19" s="85"/>
      <c r="Q19" s="85"/>
      <c r="R19" s="78"/>
      <c r="S19" s="84">
        <f t="shared" si="2"/>
        <v>2007</v>
      </c>
      <c r="T19" s="85">
        <f t="shared" si="3"/>
        <v>232</v>
      </c>
      <c r="U19" s="107">
        <f t="shared" si="5"/>
        <v>-1775</v>
      </c>
    </row>
    <row r="20" spans="1:23" ht="15" x14ac:dyDescent="0.2">
      <c r="A20" s="121" t="s">
        <v>499</v>
      </c>
      <c r="B20" s="122" t="s">
        <v>501</v>
      </c>
      <c r="C20" s="123">
        <f>+SUM(G20:R20)</f>
        <v>341</v>
      </c>
      <c r="D20" s="59">
        <v>539</v>
      </c>
      <c r="E20" s="59">
        <v>2007</v>
      </c>
      <c r="F20" s="84">
        <f t="shared" si="1"/>
        <v>223</v>
      </c>
      <c r="G20" s="85">
        <v>83</v>
      </c>
      <c r="H20" s="85">
        <v>137</v>
      </c>
      <c r="I20" s="85">
        <v>121</v>
      </c>
      <c r="J20" s="85"/>
      <c r="K20" s="85"/>
      <c r="L20" s="85"/>
      <c r="M20" s="85"/>
      <c r="N20" s="85"/>
      <c r="O20" s="85"/>
      <c r="P20" s="85"/>
      <c r="Q20" s="85"/>
      <c r="R20" s="78"/>
      <c r="S20" s="84">
        <f t="shared" si="2"/>
        <v>2007</v>
      </c>
      <c r="T20" s="85">
        <f t="shared" si="3"/>
        <v>341</v>
      </c>
      <c r="U20" s="107">
        <f t="shared" si="5"/>
        <v>-1666</v>
      </c>
    </row>
    <row r="21" spans="1:23" ht="15" x14ac:dyDescent="0.2">
      <c r="A21" s="124" t="s">
        <v>502</v>
      </c>
      <c r="B21" s="125" t="s">
        <v>503</v>
      </c>
      <c r="C21" s="126">
        <f>+SUM(G21:R21)</f>
        <v>1192</v>
      </c>
      <c r="D21" s="59">
        <v>0</v>
      </c>
      <c r="E21" s="59">
        <v>1300</v>
      </c>
      <c r="F21" s="84">
        <f t="shared" si="1"/>
        <v>144.44444444444446</v>
      </c>
      <c r="G21" s="78">
        <v>108</v>
      </c>
      <c r="H21" s="78">
        <v>523</v>
      </c>
      <c r="I21" s="78">
        <v>561</v>
      </c>
      <c r="J21" s="78"/>
      <c r="K21" s="78"/>
      <c r="L21" s="78"/>
      <c r="M21" s="78"/>
      <c r="N21" s="78"/>
      <c r="O21" s="78"/>
      <c r="P21" s="78"/>
      <c r="Q21" s="78"/>
      <c r="R21" s="78"/>
      <c r="S21" s="84">
        <f t="shared" si="2"/>
        <v>1300</v>
      </c>
      <c r="T21" s="85">
        <f t="shared" si="3"/>
        <v>1192</v>
      </c>
      <c r="U21" s="107">
        <f t="shared" si="5"/>
        <v>-108</v>
      </c>
    </row>
    <row r="22" spans="1:23" ht="15" x14ac:dyDescent="0.2">
      <c r="A22" s="124" t="s">
        <v>502</v>
      </c>
      <c r="B22" s="125" t="s">
        <v>504</v>
      </c>
      <c r="C22" s="126">
        <f t="shared" si="4"/>
        <v>1192</v>
      </c>
      <c r="D22" s="59">
        <v>0</v>
      </c>
      <c r="E22" s="59">
        <v>800</v>
      </c>
      <c r="F22" s="84">
        <f t="shared" si="1"/>
        <v>88.888888888888886</v>
      </c>
      <c r="G22" s="78">
        <v>9</v>
      </c>
      <c r="H22" s="78">
        <v>472</v>
      </c>
      <c r="I22" s="78">
        <v>711</v>
      </c>
      <c r="J22" s="78"/>
      <c r="K22" s="78"/>
      <c r="L22" s="78"/>
      <c r="M22" s="78"/>
      <c r="N22" s="78"/>
      <c r="O22" s="78"/>
      <c r="P22" s="78"/>
      <c r="Q22" s="127"/>
      <c r="R22" s="78"/>
      <c r="S22" s="84">
        <f t="shared" si="2"/>
        <v>800</v>
      </c>
      <c r="T22" s="85">
        <f t="shared" si="3"/>
        <v>1192</v>
      </c>
      <c r="U22" s="107">
        <f t="shared" si="5"/>
        <v>392</v>
      </c>
    </row>
    <row r="23" spans="1:23" ht="15" x14ac:dyDescent="0.2">
      <c r="A23" s="124" t="s">
        <v>502</v>
      </c>
      <c r="B23" s="125" t="s">
        <v>505</v>
      </c>
      <c r="C23" s="126">
        <f t="shared" si="4"/>
        <v>51</v>
      </c>
      <c r="D23" s="59">
        <v>0</v>
      </c>
      <c r="E23" s="59">
        <v>390</v>
      </c>
      <c r="F23" s="84">
        <f t="shared" si="1"/>
        <v>43.333333333333336</v>
      </c>
      <c r="G23" s="78">
        <v>8</v>
      </c>
      <c r="H23" s="78">
        <v>20</v>
      </c>
      <c r="I23" s="78">
        <v>23</v>
      </c>
      <c r="J23" s="78"/>
      <c r="K23" s="78"/>
      <c r="L23" s="78"/>
      <c r="M23" s="78"/>
      <c r="N23" s="78"/>
      <c r="O23" s="78"/>
      <c r="P23" s="78"/>
      <c r="Q23" s="78"/>
      <c r="R23" s="78"/>
      <c r="S23" s="84">
        <f t="shared" si="2"/>
        <v>390</v>
      </c>
      <c r="T23" s="85">
        <f t="shared" si="3"/>
        <v>51</v>
      </c>
      <c r="U23" s="107">
        <f t="shared" si="5"/>
        <v>-339</v>
      </c>
    </row>
  </sheetData>
  <mergeCells count="3">
    <mergeCell ref="G1:R1"/>
    <mergeCell ref="D3:D9"/>
    <mergeCell ref="D11:D16"/>
  </mergeCells>
  <pageMargins left="0.7" right="0.7" top="0.75" bottom="0.75" header="0.3" footer="0.3"/>
  <pageSetup paperSize="14" scale="71" orientation="landscape" r:id="rId1"/>
  <colBreaks count="1" manualBreakCount="1">
    <brk id="18" max="38" man="1"/>
  </colBreak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54BE9-6AE6-43B7-AF17-605D3D41FC52}">
  <dimension ref="A1:J8"/>
  <sheetViews>
    <sheetView zoomScale="70" zoomScaleNormal="70" workbookViewId="0">
      <selection activeCell="G2" sqref="G2"/>
    </sheetView>
  </sheetViews>
  <sheetFormatPr baseColWidth="10" defaultRowHeight="14.25" x14ac:dyDescent="0.25"/>
  <cols>
    <col min="1" max="1" width="45.85546875" style="74" customWidth="1"/>
    <col min="2" max="2" width="46.140625" style="74" customWidth="1"/>
    <col min="3" max="4" width="32.28515625" style="74" customWidth="1"/>
    <col min="5" max="5" width="18.28515625" style="74" bestFit="1" customWidth="1"/>
    <col min="6" max="6" width="18.28515625" style="74" customWidth="1"/>
    <col min="7" max="7" width="25.5703125" style="74" bestFit="1" customWidth="1"/>
    <col min="8" max="8" width="18.28515625" style="74" bestFit="1" customWidth="1"/>
    <col min="9" max="9" width="11.42578125" style="74"/>
    <col min="10" max="10" width="17.42578125" style="74" bestFit="1" customWidth="1"/>
    <col min="11" max="16384" width="11.42578125" style="74"/>
  </cols>
  <sheetData>
    <row r="1" spans="1:10" s="92" customFormat="1" ht="30" x14ac:dyDescent="0.25">
      <c r="A1" s="90" t="s">
        <v>444</v>
      </c>
      <c r="B1" s="90" t="s">
        <v>445</v>
      </c>
      <c r="C1" s="90" t="s">
        <v>446</v>
      </c>
      <c r="D1" s="90" t="s">
        <v>447</v>
      </c>
      <c r="E1" s="91" t="s">
        <v>448</v>
      </c>
      <c r="F1" s="91" t="s">
        <v>449</v>
      </c>
      <c r="G1" s="90" t="s">
        <v>450</v>
      </c>
      <c r="H1" s="90" t="s">
        <v>451</v>
      </c>
    </row>
    <row r="2" spans="1:10" ht="128.25" x14ac:dyDescent="0.25">
      <c r="A2" s="93" t="s">
        <v>47</v>
      </c>
      <c r="B2" s="93" t="s">
        <v>49</v>
      </c>
      <c r="C2" s="93" t="s">
        <v>452</v>
      </c>
      <c r="D2" s="93" t="s">
        <v>453</v>
      </c>
      <c r="E2" s="94">
        <v>494818190</v>
      </c>
      <c r="F2" s="74">
        <v>0</v>
      </c>
      <c r="G2" s="94">
        <v>174057134</v>
      </c>
      <c r="H2" s="94">
        <f>+E2+F2+G2</f>
        <v>668875324</v>
      </c>
    </row>
    <row r="3" spans="1:10" ht="125.25" customHeight="1" x14ac:dyDescent="0.25">
      <c r="A3" s="93" t="s">
        <v>47</v>
      </c>
      <c r="B3" s="93" t="s">
        <v>49</v>
      </c>
      <c r="C3" s="93" t="s">
        <v>454</v>
      </c>
      <c r="D3" s="93" t="s">
        <v>455</v>
      </c>
      <c r="F3" s="94"/>
      <c r="G3" s="374"/>
      <c r="H3" s="94"/>
    </row>
    <row r="4" spans="1:10" ht="79.5" customHeight="1" x14ac:dyDescent="0.25">
      <c r="A4" s="93" t="s">
        <v>55</v>
      </c>
      <c r="B4" s="93" t="s">
        <v>57</v>
      </c>
      <c r="C4" s="74" t="s">
        <v>456</v>
      </c>
      <c r="D4" s="93" t="s">
        <v>453</v>
      </c>
      <c r="E4" s="373">
        <v>79005242</v>
      </c>
      <c r="F4" s="373">
        <v>263222500</v>
      </c>
      <c r="G4" s="373">
        <v>161670000</v>
      </c>
      <c r="H4" s="94">
        <f>+F4+E4+G4</f>
        <v>503897742</v>
      </c>
      <c r="J4" s="96"/>
    </row>
    <row r="5" spans="1:10" ht="94.5" customHeight="1" x14ac:dyDescent="0.25">
      <c r="A5" s="95" t="s">
        <v>55</v>
      </c>
      <c r="B5" s="95" t="s">
        <v>57</v>
      </c>
      <c r="C5" s="74" t="s">
        <v>457</v>
      </c>
      <c r="D5" s="74" t="s">
        <v>458</v>
      </c>
      <c r="E5" s="373">
        <v>351258394</v>
      </c>
      <c r="F5" s="373">
        <v>85546505</v>
      </c>
      <c r="G5" s="373">
        <v>190420048</v>
      </c>
      <c r="H5" s="94">
        <f>+F5+E5+G5</f>
        <v>627224947</v>
      </c>
    </row>
    <row r="6" spans="1:10" ht="15" x14ac:dyDescent="0.25">
      <c r="E6" s="96">
        <f>+SUM(E2:E5)</f>
        <v>925081826</v>
      </c>
      <c r="F6" s="96">
        <f>+SUM(F2:F5)</f>
        <v>348769005</v>
      </c>
      <c r="G6" s="96">
        <f>+SUM(G2:G5)</f>
        <v>526147182</v>
      </c>
      <c r="H6" s="96">
        <f>+SUM(H2:H5)</f>
        <v>1799998013</v>
      </c>
      <c r="I6" s="97">
        <f>G6/H6</f>
        <v>0.29230431267148294</v>
      </c>
    </row>
    <row r="8" spans="1:10" ht="15" x14ac:dyDescent="0.25">
      <c r="G8" s="96"/>
      <c r="H8" s="96"/>
      <c r="I8" s="97"/>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C5A2A-D4F0-4182-8A73-9B159E919650}">
  <dimension ref="A1:AB86"/>
  <sheetViews>
    <sheetView showGridLines="0" topLeftCell="A67" workbookViewId="0">
      <selection activeCell="AB84" sqref="AB84"/>
    </sheetView>
  </sheetViews>
  <sheetFormatPr baseColWidth="10" defaultRowHeight="15" x14ac:dyDescent="0.25"/>
  <cols>
    <col min="1" max="1" width="15.140625" style="192" bestFit="1" customWidth="1"/>
    <col min="2" max="2" width="16.7109375" style="192" customWidth="1"/>
    <col min="3" max="3" width="8.28515625" style="192" customWidth="1"/>
    <col min="4" max="4" width="45.7109375" style="192" bestFit="1" customWidth="1"/>
    <col min="5" max="5" width="8.85546875" style="192" hidden="1" customWidth="1"/>
    <col min="6" max="6" width="16.5703125" style="192" hidden="1" customWidth="1"/>
    <col min="7" max="7" width="8.7109375" style="192" hidden="1" customWidth="1"/>
    <col min="8" max="8" width="13" style="192" hidden="1" customWidth="1"/>
    <col min="9" max="9" width="15" style="192" hidden="1" customWidth="1"/>
    <col min="10" max="10" width="11.140625" style="192" hidden="1" customWidth="1"/>
    <col min="11" max="11" width="7.7109375" style="192" hidden="1" customWidth="1"/>
    <col min="12" max="12" width="13" style="192" hidden="1" customWidth="1"/>
    <col min="13" max="13" width="21" style="192" bestFit="1" customWidth="1"/>
    <col min="14" max="14" width="15.7109375" style="192" hidden="1" customWidth="1"/>
    <col min="15" max="15" width="15.85546875" style="192" hidden="1" customWidth="1"/>
    <col min="16" max="16" width="23.5703125" style="192" bestFit="1" customWidth="1"/>
    <col min="17" max="17" width="17.85546875" style="192" hidden="1" customWidth="1"/>
    <col min="18" max="18" width="15.85546875" style="192" hidden="1" customWidth="1"/>
    <col min="19" max="19" width="23.140625" style="192" hidden="1" customWidth="1"/>
    <col min="20" max="20" width="26.42578125" style="192" hidden="1" customWidth="1"/>
    <col min="21" max="21" width="18.28515625" style="192" bestFit="1" customWidth="1"/>
    <col min="22" max="22" width="20.42578125" style="192" hidden="1" customWidth="1"/>
    <col min="23" max="23" width="16.5703125" style="192" bestFit="1" customWidth="1"/>
    <col min="24" max="24" width="16.85546875" style="192" hidden="1" customWidth="1"/>
    <col min="25" max="25" width="17.140625" style="192" hidden="1" customWidth="1"/>
    <col min="26" max="26" width="14.140625" style="192" hidden="1" customWidth="1"/>
    <col min="27" max="27" width="15.85546875" style="192" hidden="1" customWidth="1"/>
    <col min="28" max="16384" width="11.42578125" style="192"/>
  </cols>
  <sheetData>
    <row r="1" spans="1:28" x14ac:dyDescent="0.25">
      <c r="A1" s="425" t="s">
        <v>506</v>
      </c>
      <c r="B1" s="425"/>
      <c r="C1" s="425"/>
      <c r="D1" s="425"/>
      <c r="E1" s="425"/>
      <c r="F1" s="425"/>
      <c r="G1" s="425"/>
      <c r="H1" s="425"/>
      <c r="I1" s="425"/>
      <c r="J1" s="425"/>
      <c r="K1" s="425"/>
      <c r="L1" s="425"/>
      <c r="M1" s="425"/>
      <c r="N1" s="425"/>
      <c r="O1" s="425"/>
      <c r="P1" s="425"/>
      <c r="Q1" s="425"/>
      <c r="R1" s="425"/>
      <c r="S1" s="425"/>
      <c r="T1" s="425"/>
      <c r="U1" s="425"/>
      <c r="V1" s="425"/>
      <c r="W1" s="425"/>
      <c r="X1" s="425"/>
      <c r="Y1" s="425"/>
      <c r="Z1" s="425"/>
      <c r="AA1" s="425"/>
    </row>
    <row r="2" spans="1:28" x14ac:dyDescent="0.25">
      <c r="A2" s="424" t="s">
        <v>507</v>
      </c>
      <c r="B2" s="424"/>
      <c r="C2" s="424"/>
      <c r="D2" s="424"/>
      <c r="E2" s="424"/>
      <c r="F2" s="424"/>
      <c r="G2" s="424"/>
      <c r="H2" s="424"/>
      <c r="I2" s="424"/>
      <c r="J2" s="424"/>
      <c r="K2" s="424"/>
      <c r="L2" s="424"/>
      <c r="M2" s="424"/>
      <c r="N2" s="424"/>
      <c r="O2" s="424"/>
      <c r="P2" s="424"/>
      <c r="Q2" s="424"/>
      <c r="R2" s="424"/>
      <c r="S2" s="424"/>
      <c r="T2" s="424"/>
      <c r="U2" s="424"/>
      <c r="V2" s="424"/>
      <c r="W2" s="424"/>
      <c r="X2" s="424"/>
      <c r="Y2" s="424"/>
      <c r="Z2" s="424"/>
      <c r="AA2" s="424"/>
      <c r="AB2" s="193"/>
    </row>
    <row r="3" spans="1:28" x14ac:dyDescent="0.25">
      <c r="A3" s="424" t="s">
        <v>508</v>
      </c>
      <c r="B3" s="424"/>
      <c r="C3" s="424"/>
      <c r="D3" s="424"/>
      <c r="E3" s="424"/>
      <c r="F3" s="424"/>
      <c r="G3" s="424"/>
      <c r="H3" s="424"/>
      <c r="I3" s="424"/>
      <c r="J3" s="424"/>
      <c r="K3" s="424"/>
      <c r="L3" s="424"/>
      <c r="M3" s="424"/>
      <c r="N3" s="424"/>
      <c r="O3" s="424"/>
      <c r="P3" s="424"/>
      <c r="Q3" s="424"/>
      <c r="R3" s="424"/>
      <c r="S3" s="424"/>
      <c r="T3" s="424"/>
      <c r="U3" s="424"/>
      <c r="V3" s="424"/>
      <c r="W3" s="424"/>
      <c r="X3" s="424"/>
      <c r="Y3" s="424"/>
      <c r="Z3" s="424"/>
      <c r="AA3" s="424"/>
      <c r="AB3" s="193"/>
    </row>
    <row r="4" spans="1:28" x14ac:dyDescent="0.25">
      <c r="A4" s="424" t="s">
        <v>734</v>
      </c>
      <c r="B4" s="424"/>
      <c r="C4" s="424"/>
      <c r="D4" s="424"/>
      <c r="E4" s="424"/>
      <c r="F4" s="424"/>
      <c r="G4" s="424"/>
      <c r="H4" s="424"/>
      <c r="I4" s="424"/>
      <c r="J4" s="424"/>
      <c r="K4" s="424"/>
      <c r="L4" s="424"/>
      <c r="M4" s="424"/>
      <c r="N4" s="424"/>
      <c r="O4" s="424"/>
      <c r="P4" s="424"/>
      <c r="Q4" s="424"/>
      <c r="R4" s="424"/>
      <c r="S4" s="424"/>
      <c r="T4" s="424"/>
      <c r="U4" s="424"/>
      <c r="V4" s="424"/>
      <c r="W4" s="424"/>
      <c r="X4" s="424"/>
      <c r="Y4" s="424"/>
      <c r="Z4" s="424"/>
      <c r="AA4" s="424"/>
    </row>
    <row r="5" spans="1:28" x14ac:dyDescent="0.25">
      <c r="A5" s="424" t="s">
        <v>735</v>
      </c>
      <c r="B5" s="424"/>
      <c r="C5" s="424"/>
      <c r="D5" s="424"/>
      <c r="E5" s="424"/>
      <c r="F5" s="424"/>
      <c r="G5" s="424"/>
      <c r="H5" s="424"/>
      <c r="I5" s="424"/>
      <c r="J5" s="424"/>
      <c r="K5" s="424"/>
      <c r="L5" s="424"/>
      <c r="M5" s="424"/>
      <c r="N5" s="424"/>
      <c r="O5" s="424"/>
      <c r="P5" s="424"/>
      <c r="Q5" s="424"/>
      <c r="R5" s="424"/>
      <c r="S5" s="424"/>
      <c r="T5" s="424"/>
      <c r="U5" s="424"/>
      <c r="V5" s="424"/>
      <c r="W5" s="424"/>
      <c r="X5" s="424"/>
      <c r="Y5" s="424"/>
      <c r="Z5" s="424"/>
      <c r="AA5" s="424"/>
      <c r="AB5" s="193"/>
    </row>
    <row r="6" spans="1:28" x14ac:dyDescent="0.25">
      <c r="A6" s="424" t="s">
        <v>736</v>
      </c>
      <c r="B6" s="424"/>
      <c r="C6" s="424"/>
      <c r="D6" s="424"/>
      <c r="E6" s="424"/>
      <c r="F6" s="424"/>
      <c r="G6" s="424"/>
      <c r="H6" s="424"/>
      <c r="I6" s="424"/>
      <c r="J6" s="424"/>
      <c r="K6" s="424"/>
      <c r="L6" s="424"/>
      <c r="M6" s="424"/>
      <c r="N6" s="424"/>
      <c r="O6" s="424"/>
      <c r="P6" s="424"/>
      <c r="Q6" s="424"/>
      <c r="R6" s="424"/>
      <c r="S6" s="424"/>
      <c r="T6" s="424"/>
      <c r="U6" s="424"/>
      <c r="V6" s="424"/>
      <c r="W6" s="424"/>
      <c r="X6" s="424"/>
      <c r="Y6" s="424"/>
      <c r="Z6" s="424"/>
      <c r="AA6" s="424"/>
      <c r="AB6" s="193"/>
    </row>
    <row r="7" spans="1:28" ht="21" customHeight="1" x14ac:dyDescent="0.25">
      <c r="A7" s="194" t="s">
        <v>512</v>
      </c>
      <c r="B7" s="194" t="s">
        <v>513</v>
      </c>
      <c r="C7" s="194" t="s">
        <v>514</v>
      </c>
      <c r="D7" s="194" t="s">
        <v>515</v>
      </c>
      <c r="E7" s="194" t="s">
        <v>516</v>
      </c>
      <c r="F7" s="194" t="s">
        <v>517</v>
      </c>
      <c r="G7" s="194" t="s">
        <v>518</v>
      </c>
      <c r="H7" s="194" t="s">
        <v>519</v>
      </c>
      <c r="I7" s="194" t="s">
        <v>520</v>
      </c>
      <c r="J7" s="194" t="s">
        <v>521</v>
      </c>
      <c r="K7" s="194" t="s">
        <v>522</v>
      </c>
      <c r="L7" s="194" t="s">
        <v>523</v>
      </c>
      <c r="M7" s="194" t="s">
        <v>524</v>
      </c>
      <c r="N7" s="194" t="s">
        <v>525</v>
      </c>
      <c r="O7" s="194" t="s">
        <v>526</v>
      </c>
      <c r="P7" s="194" t="s">
        <v>527</v>
      </c>
      <c r="Q7" s="194" t="s">
        <v>528</v>
      </c>
      <c r="R7" s="194" t="s">
        <v>529</v>
      </c>
      <c r="S7" s="194" t="s">
        <v>530</v>
      </c>
      <c r="T7" s="194" t="s">
        <v>531</v>
      </c>
      <c r="U7" s="194" t="s">
        <v>532</v>
      </c>
      <c r="V7" s="194" t="s">
        <v>533</v>
      </c>
      <c r="W7" s="194" t="s">
        <v>534</v>
      </c>
      <c r="X7" s="194" t="s">
        <v>535</v>
      </c>
      <c r="Y7" s="194" t="s">
        <v>536</v>
      </c>
      <c r="Z7" s="194" t="s">
        <v>537</v>
      </c>
      <c r="AA7" s="194" t="s">
        <v>538</v>
      </c>
    </row>
    <row r="8" spans="1:28" s="198" customFormat="1" ht="16.5" customHeight="1" x14ac:dyDescent="0.25">
      <c r="A8" s="195" t="s">
        <v>539</v>
      </c>
      <c r="B8" s="195" t="s">
        <v>540</v>
      </c>
      <c r="C8" s="195" t="s">
        <v>541</v>
      </c>
      <c r="D8" s="195" t="s">
        <v>542</v>
      </c>
      <c r="E8" s="195" t="s">
        <v>539</v>
      </c>
      <c r="F8" s="196">
        <v>6974000000</v>
      </c>
      <c r="G8" s="197">
        <v>0</v>
      </c>
      <c r="H8" s="197">
        <v>0</v>
      </c>
      <c r="I8" s="197">
        <v>0</v>
      </c>
      <c r="J8" s="197">
        <v>0</v>
      </c>
      <c r="K8" s="197">
        <v>0</v>
      </c>
      <c r="L8" s="197">
        <v>0</v>
      </c>
      <c r="M8" s="196">
        <v>6974000000</v>
      </c>
      <c r="N8" s="197">
        <v>0</v>
      </c>
      <c r="O8" s="196">
        <v>3531051050</v>
      </c>
      <c r="P8" s="196">
        <v>3531051050</v>
      </c>
      <c r="Q8" s="197">
        <v>0</v>
      </c>
      <c r="R8" s="196">
        <v>3442948950</v>
      </c>
      <c r="S8" s="197">
        <v>0</v>
      </c>
      <c r="T8" s="196">
        <v>3270563550</v>
      </c>
      <c r="U8" s="196">
        <v>3270563550</v>
      </c>
      <c r="V8" s="196">
        <v>3703436450</v>
      </c>
      <c r="W8" s="196">
        <v>261298268.66</v>
      </c>
      <c r="X8" s="197">
        <v>0</v>
      </c>
      <c r="Y8" s="196">
        <v>239377502.66</v>
      </c>
      <c r="Z8" s="196">
        <v>239377502.66</v>
      </c>
      <c r="AA8" s="196">
        <v>3031186047.3400002</v>
      </c>
    </row>
    <row r="9" spans="1:28" s="202" customFormat="1" ht="16.5" customHeight="1" x14ac:dyDescent="0.25">
      <c r="A9" s="199" t="s">
        <v>539</v>
      </c>
      <c r="B9" s="199" t="s">
        <v>543</v>
      </c>
      <c r="C9" s="199" t="s">
        <v>541</v>
      </c>
      <c r="D9" s="199" t="s">
        <v>544</v>
      </c>
      <c r="E9" s="199" t="s">
        <v>539</v>
      </c>
      <c r="F9" s="200">
        <v>2609081949</v>
      </c>
      <c r="G9" s="201">
        <v>0</v>
      </c>
      <c r="H9" s="201">
        <v>0</v>
      </c>
      <c r="I9" s="201">
        <v>0</v>
      </c>
      <c r="J9" s="201">
        <v>0</v>
      </c>
      <c r="K9" s="201">
        <v>0</v>
      </c>
      <c r="L9" s="201">
        <v>0</v>
      </c>
      <c r="M9" s="200">
        <v>2609081949</v>
      </c>
      <c r="N9" s="201">
        <v>0</v>
      </c>
      <c r="O9" s="200">
        <v>757479562</v>
      </c>
      <c r="P9" s="200">
        <v>757479562</v>
      </c>
      <c r="Q9" s="201">
        <v>0</v>
      </c>
      <c r="R9" s="200">
        <v>1851602387</v>
      </c>
      <c r="S9" s="201">
        <v>0</v>
      </c>
      <c r="T9" s="200">
        <v>757479562</v>
      </c>
      <c r="U9" s="200">
        <v>757479562</v>
      </c>
      <c r="V9" s="200">
        <v>1851602387</v>
      </c>
      <c r="W9" s="200">
        <v>209972604.66</v>
      </c>
      <c r="X9" s="201">
        <v>0</v>
      </c>
      <c r="Y9" s="200">
        <v>190068504.66</v>
      </c>
      <c r="Z9" s="200">
        <v>190068504.66</v>
      </c>
      <c r="AA9" s="200">
        <v>567411057.34000003</v>
      </c>
    </row>
    <row r="10" spans="1:28" ht="16.5" customHeight="1" x14ac:dyDescent="0.25">
      <c r="A10" s="203" t="s">
        <v>539</v>
      </c>
      <c r="B10" s="203" t="s">
        <v>545</v>
      </c>
      <c r="C10" s="203" t="s">
        <v>541</v>
      </c>
      <c r="D10" s="203" t="s">
        <v>546</v>
      </c>
      <c r="E10" s="203" t="s">
        <v>539</v>
      </c>
      <c r="F10" s="204">
        <v>1587025756</v>
      </c>
      <c r="G10" s="205">
        <v>0</v>
      </c>
      <c r="H10" s="205">
        <v>0</v>
      </c>
      <c r="I10" s="205">
        <v>0</v>
      </c>
      <c r="J10" s="205">
        <v>0</v>
      </c>
      <c r="K10" s="205">
        <v>0</v>
      </c>
      <c r="L10" s="205">
        <v>0</v>
      </c>
      <c r="M10" s="204">
        <v>1587025756</v>
      </c>
      <c r="N10" s="205">
        <v>0</v>
      </c>
      <c r="O10" s="204">
        <v>173421276</v>
      </c>
      <c r="P10" s="204">
        <v>173421276</v>
      </c>
      <c r="Q10" s="205">
        <v>0</v>
      </c>
      <c r="R10" s="204">
        <v>1413604480</v>
      </c>
      <c r="S10" s="205">
        <v>0</v>
      </c>
      <c r="T10" s="204">
        <v>173421276</v>
      </c>
      <c r="U10" s="204">
        <v>173421276</v>
      </c>
      <c r="V10" s="204">
        <v>1413604480</v>
      </c>
      <c r="W10" s="204">
        <v>173409176</v>
      </c>
      <c r="X10" s="205">
        <v>0</v>
      </c>
      <c r="Y10" s="204">
        <v>153505076</v>
      </c>
      <c r="Z10" s="204">
        <v>153505076</v>
      </c>
      <c r="AA10" s="204">
        <v>19916200</v>
      </c>
    </row>
    <row r="11" spans="1:28" ht="16.5" customHeight="1" x14ac:dyDescent="0.25">
      <c r="A11" s="203" t="s">
        <v>539</v>
      </c>
      <c r="B11" s="203" t="s">
        <v>547</v>
      </c>
      <c r="C11" s="203" t="s">
        <v>541</v>
      </c>
      <c r="D11" s="203" t="s">
        <v>548</v>
      </c>
      <c r="E11" s="203" t="s">
        <v>539</v>
      </c>
      <c r="F11" s="204">
        <v>1587025756</v>
      </c>
      <c r="G11" s="205">
        <v>0</v>
      </c>
      <c r="H11" s="205">
        <v>0</v>
      </c>
      <c r="I11" s="205">
        <v>0</v>
      </c>
      <c r="J11" s="205">
        <v>0</v>
      </c>
      <c r="K11" s="205">
        <v>0</v>
      </c>
      <c r="L11" s="205">
        <v>0</v>
      </c>
      <c r="M11" s="204">
        <v>1587025756</v>
      </c>
      <c r="N11" s="205">
        <v>0</v>
      </c>
      <c r="O11" s="204">
        <v>173421276</v>
      </c>
      <c r="P11" s="204">
        <v>173421276</v>
      </c>
      <c r="Q11" s="205">
        <v>0</v>
      </c>
      <c r="R11" s="204">
        <v>1413604480</v>
      </c>
      <c r="S11" s="205">
        <v>0</v>
      </c>
      <c r="T11" s="204">
        <v>173421276</v>
      </c>
      <c r="U11" s="204">
        <v>173421276</v>
      </c>
      <c r="V11" s="204">
        <v>1413604480</v>
      </c>
      <c r="W11" s="204">
        <v>173409176</v>
      </c>
      <c r="X11" s="205">
        <v>0</v>
      </c>
      <c r="Y11" s="204">
        <v>153505076</v>
      </c>
      <c r="Z11" s="204">
        <v>153505076</v>
      </c>
      <c r="AA11" s="204">
        <v>19916200</v>
      </c>
    </row>
    <row r="12" spans="1:28" ht="16.5" hidden="1" customHeight="1" x14ac:dyDescent="0.25">
      <c r="A12" s="203" t="s">
        <v>539</v>
      </c>
      <c r="B12" s="203" t="s">
        <v>549</v>
      </c>
      <c r="C12" s="203" t="s">
        <v>541</v>
      </c>
      <c r="D12" s="203" t="s">
        <v>550</v>
      </c>
      <c r="E12" s="203" t="s">
        <v>539</v>
      </c>
      <c r="F12" s="204">
        <v>1107587483</v>
      </c>
      <c r="G12" s="205">
        <v>0</v>
      </c>
      <c r="H12" s="205">
        <v>0</v>
      </c>
      <c r="I12" s="205">
        <v>0</v>
      </c>
      <c r="J12" s="205">
        <v>0</v>
      </c>
      <c r="K12" s="205">
        <v>0</v>
      </c>
      <c r="L12" s="205">
        <v>0</v>
      </c>
      <c r="M12" s="204">
        <v>1107587483</v>
      </c>
      <c r="N12" s="205">
        <v>0</v>
      </c>
      <c r="O12" s="204">
        <v>132947376</v>
      </c>
      <c r="P12" s="204">
        <v>132947376</v>
      </c>
      <c r="Q12" s="205">
        <v>0</v>
      </c>
      <c r="R12" s="204">
        <v>974640107</v>
      </c>
      <c r="S12" s="205">
        <v>0</v>
      </c>
      <c r="T12" s="204">
        <v>132947376</v>
      </c>
      <c r="U12" s="204">
        <v>132947376</v>
      </c>
      <c r="V12" s="204">
        <v>974640107</v>
      </c>
      <c r="W12" s="204">
        <v>132947376</v>
      </c>
      <c r="X12" s="205">
        <v>0</v>
      </c>
      <c r="Y12" s="204">
        <v>132947376</v>
      </c>
      <c r="Z12" s="204">
        <v>132947376</v>
      </c>
      <c r="AA12" s="205">
        <v>0</v>
      </c>
    </row>
    <row r="13" spans="1:28" ht="16.5" hidden="1" customHeight="1" x14ac:dyDescent="0.25">
      <c r="A13" s="203" t="s">
        <v>539</v>
      </c>
      <c r="B13" s="203" t="s">
        <v>551</v>
      </c>
      <c r="C13" s="203" t="s">
        <v>541</v>
      </c>
      <c r="D13" s="203" t="s">
        <v>552</v>
      </c>
      <c r="E13" s="203" t="s">
        <v>539</v>
      </c>
      <c r="F13" s="204">
        <v>1107587483</v>
      </c>
      <c r="G13" s="205">
        <v>0</v>
      </c>
      <c r="H13" s="205">
        <v>0</v>
      </c>
      <c r="I13" s="205">
        <v>0</v>
      </c>
      <c r="J13" s="205">
        <v>0</v>
      </c>
      <c r="K13" s="205">
        <v>0</v>
      </c>
      <c r="L13" s="205">
        <v>0</v>
      </c>
      <c r="M13" s="204">
        <v>1107587483</v>
      </c>
      <c r="N13" s="205">
        <v>0</v>
      </c>
      <c r="O13" s="204">
        <v>132947376</v>
      </c>
      <c r="P13" s="204">
        <v>132947376</v>
      </c>
      <c r="Q13" s="205">
        <v>0</v>
      </c>
      <c r="R13" s="204">
        <v>974640107</v>
      </c>
      <c r="S13" s="205">
        <v>0</v>
      </c>
      <c r="T13" s="204">
        <v>132947376</v>
      </c>
      <c r="U13" s="204">
        <v>132947376</v>
      </c>
      <c r="V13" s="204">
        <v>974640107</v>
      </c>
      <c r="W13" s="204">
        <v>132947376</v>
      </c>
      <c r="X13" s="205">
        <v>0</v>
      </c>
      <c r="Y13" s="204">
        <v>132947376</v>
      </c>
      <c r="Z13" s="204">
        <v>132947376</v>
      </c>
      <c r="AA13" s="205">
        <v>0</v>
      </c>
    </row>
    <row r="14" spans="1:28" ht="16.5" hidden="1" customHeight="1" x14ac:dyDescent="0.25">
      <c r="A14" s="203" t="s">
        <v>737</v>
      </c>
      <c r="B14" s="203" t="s">
        <v>554</v>
      </c>
      <c r="C14" s="203" t="s">
        <v>541</v>
      </c>
      <c r="D14" s="203" t="s">
        <v>555</v>
      </c>
      <c r="E14" s="203" t="s">
        <v>556</v>
      </c>
      <c r="F14" s="204">
        <v>880317528</v>
      </c>
      <c r="G14" s="205">
        <v>0</v>
      </c>
      <c r="H14" s="205">
        <v>0</v>
      </c>
      <c r="I14" s="205">
        <v>0</v>
      </c>
      <c r="J14" s="205">
        <v>0</v>
      </c>
      <c r="K14" s="205">
        <v>0</v>
      </c>
      <c r="L14" s="205">
        <v>0</v>
      </c>
      <c r="M14" s="204">
        <v>880317528</v>
      </c>
      <c r="N14" s="205">
        <v>0</v>
      </c>
      <c r="O14" s="204">
        <v>132947376</v>
      </c>
      <c r="P14" s="204">
        <v>132947376</v>
      </c>
      <c r="Q14" s="205">
        <v>0</v>
      </c>
      <c r="R14" s="204">
        <v>747370152</v>
      </c>
      <c r="S14" s="205">
        <v>0</v>
      </c>
      <c r="T14" s="204">
        <v>132947376</v>
      </c>
      <c r="U14" s="204">
        <v>132947376</v>
      </c>
      <c r="V14" s="204">
        <v>747370152</v>
      </c>
      <c r="W14" s="204">
        <v>132947376</v>
      </c>
      <c r="X14" s="205">
        <v>0</v>
      </c>
      <c r="Y14" s="204">
        <v>132947376</v>
      </c>
      <c r="Z14" s="204">
        <v>132947376</v>
      </c>
      <c r="AA14" s="205">
        <v>0</v>
      </c>
    </row>
    <row r="15" spans="1:28" ht="16.5" hidden="1" customHeight="1" x14ac:dyDescent="0.25">
      <c r="A15" s="203" t="s">
        <v>738</v>
      </c>
      <c r="B15" s="203" t="s">
        <v>558</v>
      </c>
      <c r="C15" s="203" t="s">
        <v>541</v>
      </c>
      <c r="D15" s="203" t="s">
        <v>559</v>
      </c>
      <c r="E15" s="203" t="s">
        <v>556</v>
      </c>
      <c r="F15" s="204">
        <v>75499453</v>
      </c>
      <c r="G15" s="205">
        <v>0</v>
      </c>
      <c r="H15" s="205">
        <v>0</v>
      </c>
      <c r="I15" s="205">
        <v>0</v>
      </c>
      <c r="J15" s="205">
        <v>0</v>
      </c>
      <c r="K15" s="205">
        <v>0</v>
      </c>
      <c r="L15" s="205">
        <v>0</v>
      </c>
      <c r="M15" s="204">
        <v>75499453</v>
      </c>
      <c r="N15" s="205">
        <v>0</v>
      </c>
      <c r="O15" s="205">
        <v>0</v>
      </c>
      <c r="P15" s="205">
        <v>0</v>
      </c>
      <c r="Q15" s="205">
        <v>0</v>
      </c>
      <c r="R15" s="204">
        <v>75499453</v>
      </c>
      <c r="S15" s="205">
        <v>0</v>
      </c>
      <c r="T15" s="205">
        <v>0</v>
      </c>
      <c r="U15" s="205">
        <v>0</v>
      </c>
      <c r="V15" s="204">
        <v>75499453</v>
      </c>
      <c r="W15" s="205">
        <v>0</v>
      </c>
      <c r="X15" s="205">
        <v>0</v>
      </c>
      <c r="Y15" s="205">
        <v>0</v>
      </c>
      <c r="Z15" s="205">
        <v>0</v>
      </c>
      <c r="AA15" s="205">
        <v>0</v>
      </c>
    </row>
    <row r="16" spans="1:28" ht="16.5" hidden="1" customHeight="1" x14ac:dyDescent="0.25">
      <c r="A16" s="203" t="s">
        <v>739</v>
      </c>
      <c r="B16" s="203" t="s">
        <v>561</v>
      </c>
      <c r="C16" s="203" t="s">
        <v>541</v>
      </c>
      <c r="D16" s="203" t="s">
        <v>562</v>
      </c>
      <c r="E16" s="203" t="s">
        <v>556</v>
      </c>
      <c r="F16" s="204">
        <v>25675926</v>
      </c>
      <c r="G16" s="205">
        <v>0</v>
      </c>
      <c r="H16" s="205">
        <v>0</v>
      </c>
      <c r="I16" s="205">
        <v>0</v>
      </c>
      <c r="J16" s="205">
        <v>0</v>
      </c>
      <c r="K16" s="205">
        <v>0</v>
      </c>
      <c r="L16" s="205">
        <v>0</v>
      </c>
      <c r="M16" s="204">
        <v>25675926</v>
      </c>
      <c r="N16" s="205">
        <v>0</v>
      </c>
      <c r="O16" s="205">
        <v>0</v>
      </c>
      <c r="P16" s="205">
        <v>0</v>
      </c>
      <c r="Q16" s="205">
        <v>0</v>
      </c>
      <c r="R16" s="204">
        <v>25675926</v>
      </c>
      <c r="S16" s="205">
        <v>0</v>
      </c>
      <c r="T16" s="205">
        <v>0</v>
      </c>
      <c r="U16" s="205">
        <v>0</v>
      </c>
      <c r="V16" s="204">
        <v>25675926</v>
      </c>
      <c r="W16" s="205">
        <v>0</v>
      </c>
      <c r="X16" s="205">
        <v>0</v>
      </c>
      <c r="Y16" s="205">
        <v>0</v>
      </c>
      <c r="Z16" s="205">
        <v>0</v>
      </c>
      <c r="AA16" s="205">
        <v>0</v>
      </c>
    </row>
    <row r="17" spans="1:27" ht="16.5" hidden="1" customHeight="1" x14ac:dyDescent="0.25">
      <c r="A17" s="203" t="s">
        <v>539</v>
      </c>
      <c r="B17" s="203" t="s">
        <v>563</v>
      </c>
      <c r="C17" s="203" t="s">
        <v>541</v>
      </c>
      <c r="D17" s="203" t="s">
        <v>564</v>
      </c>
      <c r="E17" s="203" t="s">
        <v>539</v>
      </c>
      <c r="F17" s="204">
        <v>126094576</v>
      </c>
      <c r="G17" s="205">
        <v>0</v>
      </c>
      <c r="H17" s="205">
        <v>0</v>
      </c>
      <c r="I17" s="205">
        <v>0</v>
      </c>
      <c r="J17" s="205">
        <v>0</v>
      </c>
      <c r="K17" s="205">
        <v>0</v>
      </c>
      <c r="L17" s="205">
        <v>0</v>
      </c>
      <c r="M17" s="204">
        <v>126094576</v>
      </c>
      <c r="N17" s="205">
        <v>0</v>
      </c>
      <c r="O17" s="205">
        <v>0</v>
      </c>
      <c r="P17" s="205">
        <v>0</v>
      </c>
      <c r="Q17" s="205">
        <v>0</v>
      </c>
      <c r="R17" s="204">
        <v>126094576</v>
      </c>
      <c r="S17" s="205">
        <v>0</v>
      </c>
      <c r="T17" s="205">
        <v>0</v>
      </c>
      <c r="U17" s="205">
        <v>0</v>
      </c>
      <c r="V17" s="204">
        <v>126094576</v>
      </c>
      <c r="W17" s="205">
        <v>0</v>
      </c>
      <c r="X17" s="205">
        <v>0</v>
      </c>
      <c r="Y17" s="205">
        <v>0</v>
      </c>
      <c r="Z17" s="205">
        <v>0</v>
      </c>
      <c r="AA17" s="205">
        <v>0</v>
      </c>
    </row>
    <row r="18" spans="1:27" ht="16.5" hidden="1" customHeight="1" x14ac:dyDescent="0.25">
      <c r="A18" s="203" t="s">
        <v>740</v>
      </c>
      <c r="B18" s="203" t="s">
        <v>566</v>
      </c>
      <c r="C18" s="203" t="s">
        <v>541</v>
      </c>
      <c r="D18" s="203" t="s">
        <v>567</v>
      </c>
      <c r="E18" s="203" t="s">
        <v>556</v>
      </c>
      <c r="F18" s="204">
        <v>85199034</v>
      </c>
      <c r="G18" s="205">
        <v>0</v>
      </c>
      <c r="H18" s="205">
        <v>0</v>
      </c>
      <c r="I18" s="205">
        <v>0</v>
      </c>
      <c r="J18" s="205">
        <v>0</v>
      </c>
      <c r="K18" s="205">
        <v>0</v>
      </c>
      <c r="L18" s="205">
        <v>0</v>
      </c>
      <c r="M18" s="204">
        <v>85199034</v>
      </c>
      <c r="N18" s="205">
        <v>0</v>
      </c>
      <c r="O18" s="205">
        <v>0</v>
      </c>
      <c r="P18" s="205">
        <v>0</v>
      </c>
      <c r="Q18" s="205">
        <v>0</v>
      </c>
      <c r="R18" s="204">
        <v>85199034</v>
      </c>
      <c r="S18" s="205">
        <v>0</v>
      </c>
      <c r="T18" s="205">
        <v>0</v>
      </c>
      <c r="U18" s="205">
        <v>0</v>
      </c>
      <c r="V18" s="204">
        <v>85199034</v>
      </c>
      <c r="W18" s="205">
        <v>0</v>
      </c>
      <c r="X18" s="205">
        <v>0</v>
      </c>
      <c r="Y18" s="205">
        <v>0</v>
      </c>
      <c r="Z18" s="205">
        <v>0</v>
      </c>
      <c r="AA18" s="205">
        <v>0</v>
      </c>
    </row>
    <row r="19" spans="1:27" ht="16.5" hidden="1" customHeight="1" x14ac:dyDescent="0.25">
      <c r="A19" s="203" t="s">
        <v>741</v>
      </c>
      <c r="B19" s="203" t="s">
        <v>573</v>
      </c>
      <c r="C19" s="203" t="s">
        <v>541</v>
      </c>
      <c r="D19" s="203" t="s">
        <v>574</v>
      </c>
      <c r="E19" s="203" t="s">
        <v>556</v>
      </c>
      <c r="F19" s="204">
        <v>40895542</v>
      </c>
      <c r="G19" s="205">
        <v>0</v>
      </c>
      <c r="H19" s="205">
        <v>0</v>
      </c>
      <c r="I19" s="205">
        <v>0</v>
      </c>
      <c r="J19" s="205">
        <v>0</v>
      </c>
      <c r="K19" s="205">
        <v>0</v>
      </c>
      <c r="L19" s="205">
        <v>0</v>
      </c>
      <c r="M19" s="204">
        <v>40895542</v>
      </c>
      <c r="N19" s="205">
        <v>0</v>
      </c>
      <c r="O19" s="205">
        <v>0</v>
      </c>
      <c r="P19" s="205">
        <v>0</v>
      </c>
      <c r="Q19" s="205">
        <v>0</v>
      </c>
      <c r="R19" s="204">
        <v>40895542</v>
      </c>
      <c r="S19" s="205">
        <v>0</v>
      </c>
      <c r="T19" s="205">
        <v>0</v>
      </c>
      <c r="U19" s="205">
        <v>0</v>
      </c>
      <c r="V19" s="204">
        <v>40895542</v>
      </c>
      <c r="W19" s="205">
        <v>0</v>
      </c>
      <c r="X19" s="205">
        <v>0</v>
      </c>
      <c r="Y19" s="205">
        <v>0</v>
      </c>
      <c r="Z19" s="205">
        <v>0</v>
      </c>
      <c r="AA19" s="205">
        <v>0</v>
      </c>
    </row>
    <row r="20" spans="1:27" ht="16.5" hidden="1" customHeight="1" x14ac:dyDescent="0.25">
      <c r="A20" s="203" t="s">
        <v>539</v>
      </c>
      <c r="B20" s="203" t="s">
        <v>578</v>
      </c>
      <c r="C20" s="203" t="s">
        <v>541</v>
      </c>
      <c r="D20" s="203" t="s">
        <v>579</v>
      </c>
      <c r="E20" s="203" t="s">
        <v>539</v>
      </c>
      <c r="F20" s="204">
        <v>391841130</v>
      </c>
      <c r="G20" s="205">
        <v>0</v>
      </c>
      <c r="H20" s="205">
        <v>0</v>
      </c>
      <c r="I20" s="205">
        <v>0</v>
      </c>
      <c r="J20" s="205">
        <v>0</v>
      </c>
      <c r="K20" s="205">
        <v>0</v>
      </c>
      <c r="L20" s="205">
        <v>0</v>
      </c>
      <c r="M20" s="204">
        <v>391841130</v>
      </c>
      <c r="N20" s="205">
        <v>0</v>
      </c>
      <c r="O20" s="204">
        <v>40473900</v>
      </c>
      <c r="P20" s="204">
        <v>40473900</v>
      </c>
      <c r="Q20" s="205">
        <v>0</v>
      </c>
      <c r="R20" s="204">
        <v>351367230</v>
      </c>
      <c r="S20" s="205">
        <v>0</v>
      </c>
      <c r="T20" s="204">
        <v>40473900</v>
      </c>
      <c r="U20" s="204">
        <v>40473900</v>
      </c>
      <c r="V20" s="204">
        <v>351367230</v>
      </c>
      <c r="W20" s="204">
        <v>40461800</v>
      </c>
      <c r="X20" s="205">
        <v>0</v>
      </c>
      <c r="Y20" s="204">
        <v>20557700</v>
      </c>
      <c r="Z20" s="204">
        <v>20557700</v>
      </c>
      <c r="AA20" s="204">
        <v>19916200</v>
      </c>
    </row>
    <row r="21" spans="1:27" ht="16.5" hidden="1" customHeight="1" x14ac:dyDescent="0.25">
      <c r="A21" s="203" t="s">
        <v>742</v>
      </c>
      <c r="B21" s="203" t="s">
        <v>581</v>
      </c>
      <c r="C21" s="203" t="s">
        <v>541</v>
      </c>
      <c r="D21" s="203" t="s">
        <v>582</v>
      </c>
      <c r="E21" s="203" t="s">
        <v>556</v>
      </c>
      <c r="F21" s="204">
        <v>108719214</v>
      </c>
      <c r="G21" s="205">
        <v>0</v>
      </c>
      <c r="H21" s="205">
        <v>0</v>
      </c>
      <c r="I21" s="205">
        <v>0</v>
      </c>
      <c r="J21" s="205">
        <v>0</v>
      </c>
      <c r="K21" s="205">
        <v>0</v>
      </c>
      <c r="L21" s="205">
        <v>0</v>
      </c>
      <c r="M21" s="204">
        <v>108719214</v>
      </c>
      <c r="N21" s="205">
        <v>0</v>
      </c>
      <c r="O21" s="204">
        <v>16058900</v>
      </c>
      <c r="P21" s="204">
        <v>16058900</v>
      </c>
      <c r="Q21" s="205">
        <v>0</v>
      </c>
      <c r="R21" s="204">
        <v>92660314</v>
      </c>
      <c r="S21" s="205">
        <v>0</v>
      </c>
      <c r="T21" s="204">
        <v>16058900</v>
      </c>
      <c r="U21" s="204">
        <v>16058900</v>
      </c>
      <c r="V21" s="204">
        <v>92660314</v>
      </c>
      <c r="W21" s="204">
        <v>16058900</v>
      </c>
      <c r="X21" s="205">
        <v>0</v>
      </c>
      <c r="Y21" s="204">
        <v>8056000</v>
      </c>
      <c r="Z21" s="204">
        <v>8056000</v>
      </c>
      <c r="AA21" s="204">
        <v>8002900</v>
      </c>
    </row>
    <row r="22" spans="1:27" ht="16.5" hidden="1" customHeight="1" x14ac:dyDescent="0.25">
      <c r="A22" s="203" t="s">
        <v>743</v>
      </c>
      <c r="B22" s="203" t="s">
        <v>584</v>
      </c>
      <c r="C22" s="203" t="s">
        <v>541</v>
      </c>
      <c r="D22" s="203" t="s">
        <v>585</v>
      </c>
      <c r="E22" s="203" t="s">
        <v>556</v>
      </c>
      <c r="F22" s="204">
        <v>77009444</v>
      </c>
      <c r="G22" s="205">
        <v>0</v>
      </c>
      <c r="H22" s="205">
        <v>0</v>
      </c>
      <c r="I22" s="205">
        <v>0</v>
      </c>
      <c r="J22" s="205">
        <v>0</v>
      </c>
      <c r="K22" s="205">
        <v>0</v>
      </c>
      <c r="L22" s="205">
        <v>0</v>
      </c>
      <c r="M22" s="204">
        <v>77009444</v>
      </c>
      <c r="N22" s="205">
        <v>0</v>
      </c>
      <c r="O22" s="204">
        <v>11379600</v>
      </c>
      <c r="P22" s="204">
        <v>11379600</v>
      </c>
      <c r="Q22" s="205">
        <v>0</v>
      </c>
      <c r="R22" s="204">
        <v>65629844</v>
      </c>
      <c r="S22" s="205">
        <v>0</v>
      </c>
      <c r="T22" s="204">
        <v>11379600</v>
      </c>
      <c r="U22" s="204">
        <v>11379600</v>
      </c>
      <c r="V22" s="204">
        <v>65629844</v>
      </c>
      <c r="W22" s="204">
        <v>11379600</v>
      </c>
      <c r="X22" s="205">
        <v>0</v>
      </c>
      <c r="Y22" s="204">
        <v>5711100</v>
      </c>
      <c r="Z22" s="204">
        <v>5711100</v>
      </c>
      <c r="AA22" s="204">
        <v>5668500</v>
      </c>
    </row>
    <row r="23" spans="1:27" ht="16.5" hidden="1" customHeight="1" x14ac:dyDescent="0.25">
      <c r="A23" s="203" t="s">
        <v>744</v>
      </c>
      <c r="B23" s="203" t="s">
        <v>587</v>
      </c>
      <c r="C23" s="203" t="s">
        <v>541</v>
      </c>
      <c r="D23" s="203" t="s">
        <v>588</v>
      </c>
      <c r="E23" s="203" t="s">
        <v>556</v>
      </c>
      <c r="F23" s="204">
        <v>103374829</v>
      </c>
      <c r="G23" s="205">
        <v>0</v>
      </c>
      <c r="H23" s="205">
        <v>0</v>
      </c>
      <c r="I23" s="205">
        <v>0</v>
      </c>
      <c r="J23" s="205">
        <v>0</v>
      </c>
      <c r="K23" s="205">
        <v>0</v>
      </c>
      <c r="L23" s="205">
        <v>0</v>
      </c>
      <c r="M23" s="204">
        <v>103374829</v>
      </c>
      <c r="N23" s="205">
        <v>0</v>
      </c>
      <c r="O23" s="205">
        <v>0</v>
      </c>
      <c r="P23" s="205">
        <v>0</v>
      </c>
      <c r="Q23" s="205">
        <v>0</v>
      </c>
      <c r="R23" s="204">
        <v>103374829</v>
      </c>
      <c r="S23" s="205">
        <v>0</v>
      </c>
      <c r="T23" s="205">
        <v>0</v>
      </c>
      <c r="U23" s="205">
        <v>0</v>
      </c>
      <c r="V23" s="204">
        <v>103374829</v>
      </c>
      <c r="W23" s="205">
        <v>0</v>
      </c>
      <c r="X23" s="205">
        <v>0</v>
      </c>
      <c r="Y23" s="205">
        <v>0</v>
      </c>
      <c r="Z23" s="205">
        <v>0</v>
      </c>
      <c r="AA23" s="205">
        <v>0</v>
      </c>
    </row>
    <row r="24" spans="1:27" ht="16.5" hidden="1" customHeight="1" x14ac:dyDescent="0.25">
      <c r="A24" s="203" t="s">
        <v>745</v>
      </c>
      <c r="B24" s="203" t="s">
        <v>590</v>
      </c>
      <c r="C24" s="203" t="s">
        <v>541</v>
      </c>
      <c r="D24" s="203" t="s">
        <v>591</v>
      </c>
      <c r="E24" s="203" t="s">
        <v>556</v>
      </c>
      <c r="F24" s="204">
        <v>43403798</v>
      </c>
      <c r="G24" s="205">
        <v>0</v>
      </c>
      <c r="H24" s="205">
        <v>0</v>
      </c>
      <c r="I24" s="205">
        <v>0</v>
      </c>
      <c r="J24" s="205">
        <v>0</v>
      </c>
      <c r="K24" s="205">
        <v>0</v>
      </c>
      <c r="L24" s="205">
        <v>0</v>
      </c>
      <c r="M24" s="204">
        <v>43403798</v>
      </c>
      <c r="N24" s="205">
        <v>0</v>
      </c>
      <c r="O24" s="204">
        <v>5478600</v>
      </c>
      <c r="P24" s="204">
        <v>5478600</v>
      </c>
      <c r="Q24" s="205">
        <v>0</v>
      </c>
      <c r="R24" s="204">
        <v>37925198</v>
      </c>
      <c r="S24" s="205">
        <v>0</v>
      </c>
      <c r="T24" s="204">
        <v>5478600</v>
      </c>
      <c r="U24" s="204">
        <v>5478600</v>
      </c>
      <c r="V24" s="204">
        <v>37925198</v>
      </c>
      <c r="W24" s="204">
        <v>5478600</v>
      </c>
      <c r="X24" s="205">
        <v>0</v>
      </c>
      <c r="Y24" s="204">
        <v>2860900</v>
      </c>
      <c r="Z24" s="204">
        <v>2860900</v>
      </c>
      <c r="AA24" s="204">
        <v>2617700</v>
      </c>
    </row>
    <row r="25" spans="1:27" ht="16.5" hidden="1" customHeight="1" x14ac:dyDescent="0.25">
      <c r="A25" s="203" t="s">
        <v>746</v>
      </c>
      <c r="B25" s="203" t="s">
        <v>593</v>
      </c>
      <c r="C25" s="203" t="s">
        <v>541</v>
      </c>
      <c r="D25" s="203" t="s">
        <v>594</v>
      </c>
      <c r="E25" s="203" t="s">
        <v>556</v>
      </c>
      <c r="F25" s="204">
        <v>5079098</v>
      </c>
      <c r="G25" s="205">
        <v>0</v>
      </c>
      <c r="H25" s="205">
        <v>0</v>
      </c>
      <c r="I25" s="205">
        <v>0</v>
      </c>
      <c r="J25" s="205">
        <v>0</v>
      </c>
      <c r="K25" s="205">
        <v>0</v>
      </c>
      <c r="L25" s="205">
        <v>0</v>
      </c>
      <c r="M25" s="204">
        <v>5079098</v>
      </c>
      <c r="N25" s="205">
        <v>0</v>
      </c>
      <c r="O25" s="204">
        <v>707100</v>
      </c>
      <c r="P25" s="204">
        <v>707100</v>
      </c>
      <c r="Q25" s="205">
        <v>0</v>
      </c>
      <c r="R25" s="204">
        <v>4371998</v>
      </c>
      <c r="S25" s="205">
        <v>0</v>
      </c>
      <c r="T25" s="204">
        <v>707100</v>
      </c>
      <c r="U25" s="204">
        <v>707100</v>
      </c>
      <c r="V25" s="204">
        <v>4371998</v>
      </c>
      <c r="W25" s="204">
        <v>695000</v>
      </c>
      <c r="X25" s="205">
        <v>0</v>
      </c>
      <c r="Y25" s="204">
        <v>352800</v>
      </c>
      <c r="Z25" s="204">
        <v>352800</v>
      </c>
      <c r="AA25" s="204">
        <v>354300</v>
      </c>
    </row>
    <row r="26" spans="1:27" ht="16.5" hidden="1" customHeight="1" x14ac:dyDescent="0.25">
      <c r="A26" s="203" t="s">
        <v>747</v>
      </c>
      <c r="B26" s="203" t="s">
        <v>596</v>
      </c>
      <c r="C26" s="203" t="s">
        <v>541</v>
      </c>
      <c r="D26" s="203" t="s">
        <v>597</v>
      </c>
      <c r="E26" s="203" t="s">
        <v>556</v>
      </c>
      <c r="F26" s="204">
        <v>32552848</v>
      </c>
      <c r="G26" s="205">
        <v>0</v>
      </c>
      <c r="H26" s="205">
        <v>0</v>
      </c>
      <c r="I26" s="205">
        <v>0</v>
      </c>
      <c r="J26" s="205">
        <v>0</v>
      </c>
      <c r="K26" s="205">
        <v>0</v>
      </c>
      <c r="L26" s="205">
        <v>0</v>
      </c>
      <c r="M26" s="204">
        <v>32552848</v>
      </c>
      <c r="N26" s="205">
        <v>0</v>
      </c>
      <c r="O26" s="204">
        <v>4109700</v>
      </c>
      <c r="P26" s="204">
        <v>4109700</v>
      </c>
      <c r="Q26" s="205">
        <v>0</v>
      </c>
      <c r="R26" s="204">
        <v>28443148</v>
      </c>
      <c r="S26" s="205">
        <v>0</v>
      </c>
      <c r="T26" s="204">
        <v>4109700</v>
      </c>
      <c r="U26" s="204">
        <v>4109700</v>
      </c>
      <c r="V26" s="204">
        <v>28443148</v>
      </c>
      <c r="W26" s="204">
        <v>4109700</v>
      </c>
      <c r="X26" s="205">
        <v>0</v>
      </c>
      <c r="Y26" s="204">
        <v>2146100</v>
      </c>
      <c r="Z26" s="204">
        <v>2146100</v>
      </c>
      <c r="AA26" s="204">
        <v>1963600</v>
      </c>
    </row>
    <row r="27" spans="1:27" ht="16.5" hidden="1" customHeight="1" x14ac:dyDescent="0.25">
      <c r="A27" s="203" t="s">
        <v>748</v>
      </c>
      <c r="B27" s="203" t="s">
        <v>599</v>
      </c>
      <c r="C27" s="203" t="s">
        <v>541</v>
      </c>
      <c r="D27" s="203" t="s">
        <v>600</v>
      </c>
      <c r="E27" s="203" t="s">
        <v>556</v>
      </c>
      <c r="F27" s="204">
        <v>21701899</v>
      </c>
      <c r="G27" s="205">
        <v>0</v>
      </c>
      <c r="H27" s="205">
        <v>0</v>
      </c>
      <c r="I27" s="205">
        <v>0</v>
      </c>
      <c r="J27" s="205">
        <v>0</v>
      </c>
      <c r="K27" s="205">
        <v>0</v>
      </c>
      <c r="L27" s="205">
        <v>0</v>
      </c>
      <c r="M27" s="204">
        <v>21701899</v>
      </c>
      <c r="N27" s="205">
        <v>0</v>
      </c>
      <c r="O27" s="204">
        <v>2740000</v>
      </c>
      <c r="P27" s="204">
        <v>2740000</v>
      </c>
      <c r="Q27" s="205">
        <v>0</v>
      </c>
      <c r="R27" s="204">
        <v>18961899</v>
      </c>
      <c r="S27" s="205">
        <v>0</v>
      </c>
      <c r="T27" s="204">
        <v>2740000</v>
      </c>
      <c r="U27" s="204">
        <v>2740000</v>
      </c>
      <c r="V27" s="204">
        <v>18961899</v>
      </c>
      <c r="W27" s="204">
        <v>2740000</v>
      </c>
      <c r="X27" s="205">
        <v>0</v>
      </c>
      <c r="Y27" s="204">
        <v>1430800</v>
      </c>
      <c r="Z27" s="204">
        <v>1430800</v>
      </c>
      <c r="AA27" s="204">
        <v>1309200</v>
      </c>
    </row>
    <row r="28" spans="1:27" ht="16.5" hidden="1" customHeight="1" x14ac:dyDescent="0.25">
      <c r="A28" s="203" t="s">
        <v>539</v>
      </c>
      <c r="B28" s="203" t="s">
        <v>601</v>
      </c>
      <c r="C28" s="203" t="s">
        <v>541</v>
      </c>
      <c r="D28" s="203" t="s">
        <v>602</v>
      </c>
      <c r="E28" s="203" t="s">
        <v>539</v>
      </c>
      <c r="F28" s="204">
        <v>87597143</v>
      </c>
      <c r="G28" s="205">
        <v>0</v>
      </c>
      <c r="H28" s="205">
        <v>0</v>
      </c>
      <c r="I28" s="205">
        <v>0</v>
      </c>
      <c r="J28" s="205">
        <v>0</v>
      </c>
      <c r="K28" s="205">
        <v>0</v>
      </c>
      <c r="L28" s="205">
        <v>0</v>
      </c>
      <c r="M28" s="204">
        <v>87597143</v>
      </c>
      <c r="N28" s="205">
        <v>0</v>
      </c>
      <c r="O28" s="205">
        <v>0</v>
      </c>
      <c r="P28" s="205">
        <v>0</v>
      </c>
      <c r="Q28" s="205">
        <v>0</v>
      </c>
      <c r="R28" s="204">
        <v>87597143</v>
      </c>
      <c r="S28" s="205">
        <v>0</v>
      </c>
      <c r="T28" s="205">
        <v>0</v>
      </c>
      <c r="U28" s="205">
        <v>0</v>
      </c>
      <c r="V28" s="204">
        <v>87597143</v>
      </c>
      <c r="W28" s="205">
        <v>0</v>
      </c>
      <c r="X28" s="205">
        <v>0</v>
      </c>
      <c r="Y28" s="205">
        <v>0</v>
      </c>
      <c r="Z28" s="205">
        <v>0</v>
      </c>
      <c r="AA28" s="205">
        <v>0</v>
      </c>
    </row>
    <row r="29" spans="1:27" ht="16.5" hidden="1" customHeight="1" x14ac:dyDescent="0.25">
      <c r="A29" s="203" t="s">
        <v>539</v>
      </c>
      <c r="B29" s="203" t="s">
        <v>603</v>
      </c>
      <c r="C29" s="203" t="s">
        <v>541</v>
      </c>
      <c r="D29" s="203" t="s">
        <v>564</v>
      </c>
      <c r="E29" s="203" t="s">
        <v>539</v>
      </c>
      <c r="F29" s="204">
        <v>87597143</v>
      </c>
      <c r="G29" s="205">
        <v>0</v>
      </c>
      <c r="H29" s="205">
        <v>0</v>
      </c>
      <c r="I29" s="205">
        <v>0</v>
      </c>
      <c r="J29" s="205">
        <v>0</v>
      </c>
      <c r="K29" s="205">
        <v>0</v>
      </c>
      <c r="L29" s="205">
        <v>0</v>
      </c>
      <c r="M29" s="204">
        <v>87597143</v>
      </c>
      <c r="N29" s="205">
        <v>0</v>
      </c>
      <c r="O29" s="205">
        <v>0</v>
      </c>
      <c r="P29" s="205">
        <v>0</v>
      </c>
      <c r="Q29" s="205">
        <v>0</v>
      </c>
      <c r="R29" s="204">
        <v>87597143</v>
      </c>
      <c r="S29" s="205">
        <v>0</v>
      </c>
      <c r="T29" s="205">
        <v>0</v>
      </c>
      <c r="U29" s="205">
        <v>0</v>
      </c>
      <c r="V29" s="204">
        <v>87597143</v>
      </c>
      <c r="W29" s="205">
        <v>0</v>
      </c>
      <c r="X29" s="205">
        <v>0</v>
      </c>
      <c r="Y29" s="205">
        <v>0</v>
      </c>
      <c r="Z29" s="205">
        <v>0</v>
      </c>
      <c r="AA29" s="205">
        <v>0</v>
      </c>
    </row>
    <row r="30" spans="1:27" ht="16.5" hidden="1" customHeight="1" x14ac:dyDescent="0.25">
      <c r="A30" s="203" t="s">
        <v>749</v>
      </c>
      <c r="B30" s="203" t="s">
        <v>605</v>
      </c>
      <c r="C30" s="203" t="s">
        <v>541</v>
      </c>
      <c r="D30" s="203" t="s">
        <v>606</v>
      </c>
      <c r="E30" s="203" t="s">
        <v>556</v>
      </c>
      <c r="F30" s="204">
        <v>62706489</v>
      </c>
      <c r="G30" s="205">
        <v>0</v>
      </c>
      <c r="H30" s="205">
        <v>0</v>
      </c>
      <c r="I30" s="205">
        <v>0</v>
      </c>
      <c r="J30" s="205">
        <v>0</v>
      </c>
      <c r="K30" s="205">
        <v>0</v>
      </c>
      <c r="L30" s="205">
        <v>0</v>
      </c>
      <c r="M30" s="204">
        <v>62706489</v>
      </c>
      <c r="N30" s="205">
        <v>0</v>
      </c>
      <c r="O30" s="205">
        <v>0</v>
      </c>
      <c r="P30" s="205">
        <v>0</v>
      </c>
      <c r="Q30" s="205">
        <v>0</v>
      </c>
      <c r="R30" s="204">
        <v>62706489</v>
      </c>
      <c r="S30" s="205">
        <v>0</v>
      </c>
      <c r="T30" s="205">
        <v>0</v>
      </c>
      <c r="U30" s="205">
        <v>0</v>
      </c>
      <c r="V30" s="204">
        <v>62706489</v>
      </c>
      <c r="W30" s="205">
        <v>0</v>
      </c>
      <c r="X30" s="205">
        <v>0</v>
      </c>
      <c r="Y30" s="205">
        <v>0</v>
      </c>
      <c r="Z30" s="205">
        <v>0</v>
      </c>
      <c r="AA30" s="205">
        <v>0</v>
      </c>
    </row>
    <row r="31" spans="1:27" ht="16.5" hidden="1" customHeight="1" x14ac:dyDescent="0.25">
      <c r="A31" s="203" t="s">
        <v>750</v>
      </c>
      <c r="B31" s="203" t="s">
        <v>608</v>
      </c>
      <c r="C31" s="203" t="s">
        <v>541</v>
      </c>
      <c r="D31" s="203" t="s">
        <v>609</v>
      </c>
      <c r="E31" s="203" t="s">
        <v>610</v>
      </c>
      <c r="F31" s="204">
        <v>20000000</v>
      </c>
      <c r="G31" s="205">
        <v>0</v>
      </c>
      <c r="H31" s="205">
        <v>0</v>
      </c>
      <c r="I31" s="205">
        <v>0</v>
      </c>
      <c r="J31" s="205">
        <v>0</v>
      </c>
      <c r="K31" s="205">
        <v>0</v>
      </c>
      <c r="L31" s="205">
        <v>0</v>
      </c>
      <c r="M31" s="204">
        <v>20000000</v>
      </c>
      <c r="N31" s="205">
        <v>0</v>
      </c>
      <c r="O31" s="205">
        <v>0</v>
      </c>
      <c r="P31" s="205">
        <v>0</v>
      </c>
      <c r="Q31" s="205">
        <v>0</v>
      </c>
      <c r="R31" s="204">
        <v>20000000</v>
      </c>
      <c r="S31" s="205">
        <v>0</v>
      </c>
      <c r="T31" s="205">
        <v>0</v>
      </c>
      <c r="U31" s="205">
        <v>0</v>
      </c>
      <c r="V31" s="204">
        <v>20000000</v>
      </c>
      <c r="W31" s="205">
        <v>0</v>
      </c>
      <c r="X31" s="205">
        <v>0</v>
      </c>
      <c r="Y31" s="205">
        <v>0</v>
      </c>
      <c r="Z31" s="205">
        <v>0</v>
      </c>
      <c r="AA31" s="205">
        <v>0</v>
      </c>
    </row>
    <row r="32" spans="1:27" ht="16.5" hidden="1" customHeight="1" x14ac:dyDescent="0.25">
      <c r="A32" s="203" t="s">
        <v>751</v>
      </c>
      <c r="B32" s="203" t="s">
        <v>612</v>
      </c>
      <c r="C32" s="203" t="s">
        <v>541</v>
      </c>
      <c r="D32" s="203" t="s">
        <v>613</v>
      </c>
      <c r="E32" s="203" t="s">
        <v>556</v>
      </c>
      <c r="F32" s="204">
        <v>4890654</v>
      </c>
      <c r="G32" s="205">
        <v>0</v>
      </c>
      <c r="H32" s="205">
        <v>0</v>
      </c>
      <c r="I32" s="205">
        <v>0</v>
      </c>
      <c r="J32" s="205">
        <v>0</v>
      </c>
      <c r="K32" s="205">
        <v>0</v>
      </c>
      <c r="L32" s="205">
        <v>0</v>
      </c>
      <c r="M32" s="204">
        <v>4890654</v>
      </c>
      <c r="N32" s="205">
        <v>0</v>
      </c>
      <c r="O32" s="205">
        <v>0</v>
      </c>
      <c r="P32" s="205">
        <v>0</v>
      </c>
      <c r="Q32" s="205">
        <v>0</v>
      </c>
      <c r="R32" s="204">
        <v>4890654</v>
      </c>
      <c r="S32" s="205">
        <v>0</v>
      </c>
      <c r="T32" s="205">
        <v>0</v>
      </c>
      <c r="U32" s="205">
        <v>0</v>
      </c>
      <c r="V32" s="204">
        <v>4890654</v>
      </c>
      <c r="W32" s="205">
        <v>0</v>
      </c>
      <c r="X32" s="205">
        <v>0</v>
      </c>
      <c r="Y32" s="205">
        <v>0</v>
      </c>
      <c r="Z32" s="205">
        <v>0</v>
      </c>
      <c r="AA32" s="205">
        <v>0</v>
      </c>
    </row>
    <row r="33" spans="1:27" ht="16.5" customHeight="1" x14ac:dyDescent="0.25">
      <c r="A33" s="203" t="s">
        <v>539</v>
      </c>
      <c r="B33" s="203" t="s">
        <v>614</v>
      </c>
      <c r="C33" s="203" t="s">
        <v>541</v>
      </c>
      <c r="D33" s="203" t="s">
        <v>615</v>
      </c>
      <c r="E33" s="203" t="s">
        <v>539</v>
      </c>
      <c r="F33" s="204">
        <v>953512250</v>
      </c>
      <c r="G33" s="205">
        <v>0</v>
      </c>
      <c r="H33" s="205">
        <v>0</v>
      </c>
      <c r="I33" s="205">
        <v>0</v>
      </c>
      <c r="J33" s="205">
        <v>0</v>
      </c>
      <c r="K33" s="205">
        <v>0</v>
      </c>
      <c r="L33" s="205">
        <v>0</v>
      </c>
      <c r="M33" s="204">
        <v>953512250</v>
      </c>
      <c r="N33" s="205">
        <v>0</v>
      </c>
      <c r="O33" s="204">
        <v>541442286</v>
      </c>
      <c r="P33" s="204">
        <v>541442286</v>
      </c>
      <c r="Q33" s="205">
        <v>0</v>
      </c>
      <c r="R33" s="204">
        <v>412069964</v>
      </c>
      <c r="S33" s="205">
        <v>0</v>
      </c>
      <c r="T33" s="204">
        <v>541442286</v>
      </c>
      <c r="U33" s="204">
        <v>541442286</v>
      </c>
      <c r="V33" s="204">
        <v>412069964</v>
      </c>
      <c r="W33" s="204">
        <v>29460762</v>
      </c>
      <c r="X33" s="205">
        <v>0</v>
      </c>
      <c r="Y33" s="204">
        <v>29460762</v>
      </c>
      <c r="Z33" s="204">
        <v>29460762</v>
      </c>
      <c r="AA33" s="204">
        <v>511981524</v>
      </c>
    </row>
    <row r="34" spans="1:27" ht="16.5" hidden="1" customHeight="1" x14ac:dyDescent="0.25">
      <c r="A34" s="203" t="s">
        <v>539</v>
      </c>
      <c r="B34" s="203" t="s">
        <v>752</v>
      </c>
      <c r="C34" s="203" t="s">
        <v>541</v>
      </c>
      <c r="D34" s="203" t="s">
        <v>753</v>
      </c>
      <c r="E34" s="203" t="s">
        <v>539</v>
      </c>
      <c r="F34" s="204">
        <v>32500000</v>
      </c>
      <c r="G34" s="205">
        <v>0</v>
      </c>
      <c r="H34" s="205">
        <v>0</v>
      </c>
      <c r="I34" s="205">
        <v>0</v>
      </c>
      <c r="J34" s="205">
        <v>0</v>
      </c>
      <c r="K34" s="205">
        <v>0</v>
      </c>
      <c r="L34" s="205">
        <v>0</v>
      </c>
      <c r="M34" s="204">
        <v>32500000</v>
      </c>
      <c r="N34" s="205">
        <v>0</v>
      </c>
      <c r="O34" s="205">
        <v>0</v>
      </c>
      <c r="P34" s="205">
        <v>0</v>
      </c>
      <c r="Q34" s="205">
        <v>0</v>
      </c>
      <c r="R34" s="204">
        <v>32500000</v>
      </c>
      <c r="S34" s="205">
        <v>0</v>
      </c>
      <c r="T34" s="205">
        <v>0</v>
      </c>
      <c r="U34" s="205">
        <v>0</v>
      </c>
      <c r="V34" s="204">
        <v>32500000</v>
      </c>
      <c r="W34" s="205">
        <v>0</v>
      </c>
      <c r="X34" s="205">
        <v>0</v>
      </c>
      <c r="Y34" s="205">
        <v>0</v>
      </c>
      <c r="Z34" s="205">
        <v>0</v>
      </c>
      <c r="AA34" s="205">
        <v>0</v>
      </c>
    </row>
    <row r="35" spans="1:27" ht="16.5" hidden="1" customHeight="1" x14ac:dyDescent="0.25">
      <c r="A35" s="203" t="s">
        <v>539</v>
      </c>
      <c r="B35" s="203" t="s">
        <v>754</v>
      </c>
      <c r="C35" s="203" t="s">
        <v>541</v>
      </c>
      <c r="D35" s="203" t="s">
        <v>755</v>
      </c>
      <c r="E35" s="203" t="s">
        <v>539</v>
      </c>
      <c r="F35" s="204">
        <v>32500000</v>
      </c>
      <c r="G35" s="205">
        <v>0</v>
      </c>
      <c r="H35" s="205">
        <v>0</v>
      </c>
      <c r="I35" s="205">
        <v>0</v>
      </c>
      <c r="J35" s="205">
        <v>0</v>
      </c>
      <c r="K35" s="205">
        <v>0</v>
      </c>
      <c r="L35" s="205">
        <v>0</v>
      </c>
      <c r="M35" s="204">
        <v>32500000</v>
      </c>
      <c r="N35" s="205">
        <v>0</v>
      </c>
      <c r="O35" s="205">
        <v>0</v>
      </c>
      <c r="P35" s="205">
        <v>0</v>
      </c>
      <c r="Q35" s="205">
        <v>0</v>
      </c>
      <c r="R35" s="204">
        <v>32500000</v>
      </c>
      <c r="S35" s="205">
        <v>0</v>
      </c>
      <c r="T35" s="205">
        <v>0</v>
      </c>
      <c r="U35" s="205">
        <v>0</v>
      </c>
      <c r="V35" s="204">
        <v>32500000</v>
      </c>
      <c r="W35" s="205">
        <v>0</v>
      </c>
      <c r="X35" s="205">
        <v>0</v>
      </c>
      <c r="Y35" s="205">
        <v>0</v>
      </c>
      <c r="Z35" s="205">
        <v>0</v>
      </c>
      <c r="AA35" s="205">
        <v>0</v>
      </c>
    </row>
    <row r="36" spans="1:27" ht="16.5" hidden="1" customHeight="1" x14ac:dyDescent="0.25">
      <c r="A36" s="203" t="s">
        <v>539</v>
      </c>
      <c r="B36" s="203" t="s">
        <v>756</v>
      </c>
      <c r="C36" s="203" t="s">
        <v>541</v>
      </c>
      <c r="D36" s="203" t="s">
        <v>757</v>
      </c>
      <c r="E36" s="203" t="s">
        <v>539</v>
      </c>
      <c r="F36" s="204">
        <v>32500000</v>
      </c>
      <c r="G36" s="205">
        <v>0</v>
      </c>
      <c r="H36" s="205">
        <v>0</v>
      </c>
      <c r="I36" s="205">
        <v>0</v>
      </c>
      <c r="J36" s="205">
        <v>0</v>
      </c>
      <c r="K36" s="205">
        <v>0</v>
      </c>
      <c r="L36" s="205">
        <v>0</v>
      </c>
      <c r="M36" s="204">
        <v>32500000</v>
      </c>
      <c r="N36" s="205">
        <v>0</v>
      </c>
      <c r="O36" s="205">
        <v>0</v>
      </c>
      <c r="P36" s="205">
        <v>0</v>
      </c>
      <c r="Q36" s="205">
        <v>0</v>
      </c>
      <c r="R36" s="204">
        <v>32500000</v>
      </c>
      <c r="S36" s="205">
        <v>0</v>
      </c>
      <c r="T36" s="205">
        <v>0</v>
      </c>
      <c r="U36" s="205">
        <v>0</v>
      </c>
      <c r="V36" s="204">
        <v>32500000</v>
      </c>
      <c r="W36" s="205">
        <v>0</v>
      </c>
      <c r="X36" s="205">
        <v>0</v>
      </c>
      <c r="Y36" s="205">
        <v>0</v>
      </c>
      <c r="Z36" s="205">
        <v>0</v>
      </c>
      <c r="AA36" s="205">
        <v>0</v>
      </c>
    </row>
    <row r="37" spans="1:27" ht="16.5" hidden="1" customHeight="1" x14ac:dyDescent="0.25">
      <c r="A37" s="203" t="s">
        <v>539</v>
      </c>
      <c r="B37" s="203" t="s">
        <v>758</v>
      </c>
      <c r="C37" s="203" t="s">
        <v>541</v>
      </c>
      <c r="D37" s="203" t="s">
        <v>759</v>
      </c>
      <c r="E37" s="203" t="s">
        <v>539</v>
      </c>
      <c r="F37" s="204">
        <v>32500000</v>
      </c>
      <c r="G37" s="205">
        <v>0</v>
      </c>
      <c r="H37" s="205">
        <v>0</v>
      </c>
      <c r="I37" s="205">
        <v>0</v>
      </c>
      <c r="J37" s="205">
        <v>0</v>
      </c>
      <c r="K37" s="205">
        <v>0</v>
      </c>
      <c r="L37" s="205">
        <v>0</v>
      </c>
      <c r="M37" s="204">
        <v>32500000</v>
      </c>
      <c r="N37" s="205">
        <v>0</v>
      </c>
      <c r="O37" s="205">
        <v>0</v>
      </c>
      <c r="P37" s="205">
        <v>0</v>
      </c>
      <c r="Q37" s="205">
        <v>0</v>
      </c>
      <c r="R37" s="204">
        <v>32500000</v>
      </c>
      <c r="S37" s="205">
        <v>0</v>
      </c>
      <c r="T37" s="205">
        <v>0</v>
      </c>
      <c r="U37" s="205">
        <v>0</v>
      </c>
      <c r="V37" s="204">
        <v>32500000</v>
      </c>
      <c r="W37" s="205">
        <v>0</v>
      </c>
      <c r="X37" s="205">
        <v>0</v>
      </c>
      <c r="Y37" s="205">
        <v>0</v>
      </c>
      <c r="Z37" s="205">
        <v>0</v>
      </c>
      <c r="AA37" s="205">
        <v>0</v>
      </c>
    </row>
    <row r="38" spans="1:27" ht="16.5" hidden="1" customHeight="1" x14ac:dyDescent="0.25">
      <c r="A38" s="203" t="s">
        <v>539</v>
      </c>
      <c r="B38" s="203" t="s">
        <v>760</v>
      </c>
      <c r="C38" s="203" t="s">
        <v>541</v>
      </c>
      <c r="D38" s="203" t="s">
        <v>761</v>
      </c>
      <c r="E38" s="203" t="s">
        <v>539</v>
      </c>
      <c r="F38" s="204">
        <v>32500000</v>
      </c>
      <c r="G38" s="205">
        <v>0</v>
      </c>
      <c r="H38" s="205">
        <v>0</v>
      </c>
      <c r="I38" s="205">
        <v>0</v>
      </c>
      <c r="J38" s="205">
        <v>0</v>
      </c>
      <c r="K38" s="205">
        <v>0</v>
      </c>
      <c r="L38" s="205">
        <v>0</v>
      </c>
      <c r="M38" s="204">
        <v>32500000</v>
      </c>
      <c r="N38" s="205">
        <v>0</v>
      </c>
      <c r="O38" s="205">
        <v>0</v>
      </c>
      <c r="P38" s="205">
        <v>0</v>
      </c>
      <c r="Q38" s="205">
        <v>0</v>
      </c>
      <c r="R38" s="204">
        <v>32500000</v>
      </c>
      <c r="S38" s="205">
        <v>0</v>
      </c>
      <c r="T38" s="205">
        <v>0</v>
      </c>
      <c r="U38" s="205">
        <v>0</v>
      </c>
      <c r="V38" s="204">
        <v>32500000</v>
      </c>
      <c r="W38" s="205">
        <v>0</v>
      </c>
      <c r="X38" s="205">
        <v>0</v>
      </c>
      <c r="Y38" s="205">
        <v>0</v>
      </c>
      <c r="Z38" s="205">
        <v>0</v>
      </c>
      <c r="AA38" s="205">
        <v>0</v>
      </c>
    </row>
    <row r="39" spans="1:27" ht="16.5" hidden="1" customHeight="1" x14ac:dyDescent="0.25">
      <c r="A39" s="203" t="s">
        <v>539</v>
      </c>
      <c r="B39" s="203" t="s">
        <v>762</v>
      </c>
      <c r="C39" s="203" t="s">
        <v>541</v>
      </c>
      <c r="D39" s="203" t="s">
        <v>763</v>
      </c>
      <c r="E39" s="203" t="s">
        <v>539</v>
      </c>
      <c r="F39" s="204">
        <v>32500000</v>
      </c>
      <c r="G39" s="205">
        <v>0</v>
      </c>
      <c r="H39" s="205">
        <v>0</v>
      </c>
      <c r="I39" s="205">
        <v>0</v>
      </c>
      <c r="J39" s="205">
        <v>0</v>
      </c>
      <c r="K39" s="205">
        <v>0</v>
      </c>
      <c r="L39" s="205">
        <v>0</v>
      </c>
      <c r="M39" s="204">
        <v>32500000</v>
      </c>
      <c r="N39" s="205">
        <v>0</v>
      </c>
      <c r="O39" s="205">
        <v>0</v>
      </c>
      <c r="P39" s="205">
        <v>0</v>
      </c>
      <c r="Q39" s="205">
        <v>0</v>
      </c>
      <c r="R39" s="204">
        <v>32500000</v>
      </c>
      <c r="S39" s="205">
        <v>0</v>
      </c>
      <c r="T39" s="205">
        <v>0</v>
      </c>
      <c r="U39" s="205">
        <v>0</v>
      </c>
      <c r="V39" s="204">
        <v>32500000</v>
      </c>
      <c r="W39" s="205">
        <v>0</v>
      </c>
      <c r="X39" s="205">
        <v>0</v>
      </c>
      <c r="Y39" s="205">
        <v>0</v>
      </c>
      <c r="Z39" s="205">
        <v>0</v>
      </c>
      <c r="AA39" s="205">
        <v>0</v>
      </c>
    </row>
    <row r="40" spans="1:27" ht="16.5" hidden="1" customHeight="1" x14ac:dyDescent="0.25">
      <c r="A40" s="203" t="s">
        <v>764</v>
      </c>
      <c r="B40" s="203" t="s">
        <v>765</v>
      </c>
      <c r="C40" s="203" t="s">
        <v>541</v>
      </c>
      <c r="D40" s="203" t="s">
        <v>766</v>
      </c>
      <c r="E40" s="203" t="s">
        <v>556</v>
      </c>
      <c r="F40" s="204">
        <v>32500000</v>
      </c>
      <c r="G40" s="205">
        <v>0</v>
      </c>
      <c r="H40" s="205">
        <v>0</v>
      </c>
      <c r="I40" s="205">
        <v>0</v>
      </c>
      <c r="J40" s="205">
        <v>0</v>
      </c>
      <c r="K40" s="205">
        <v>0</v>
      </c>
      <c r="L40" s="205">
        <v>0</v>
      </c>
      <c r="M40" s="204">
        <v>32500000</v>
      </c>
      <c r="N40" s="205">
        <v>0</v>
      </c>
      <c r="O40" s="205">
        <v>0</v>
      </c>
      <c r="P40" s="205">
        <v>0</v>
      </c>
      <c r="Q40" s="205">
        <v>0</v>
      </c>
      <c r="R40" s="204">
        <v>32500000</v>
      </c>
      <c r="S40" s="205">
        <v>0</v>
      </c>
      <c r="T40" s="205">
        <v>0</v>
      </c>
      <c r="U40" s="205">
        <v>0</v>
      </c>
      <c r="V40" s="204">
        <v>32500000</v>
      </c>
      <c r="W40" s="205">
        <v>0</v>
      </c>
      <c r="X40" s="205">
        <v>0</v>
      </c>
      <c r="Y40" s="205">
        <v>0</v>
      </c>
      <c r="Z40" s="205">
        <v>0</v>
      </c>
      <c r="AA40" s="205">
        <v>0</v>
      </c>
    </row>
    <row r="41" spans="1:27" ht="16.5" hidden="1" customHeight="1" x14ac:dyDescent="0.25">
      <c r="A41" s="203" t="s">
        <v>539</v>
      </c>
      <c r="B41" s="203" t="s">
        <v>616</v>
      </c>
      <c r="C41" s="203" t="s">
        <v>541</v>
      </c>
      <c r="D41" s="203" t="s">
        <v>617</v>
      </c>
      <c r="E41" s="203" t="s">
        <v>539</v>
      </c>
      <c r="F41" s="204">
        <v>921012250</v>
      </c>
      <c r="G41" s="205">
        <v>0</v>
      </c>
      <c r="H41" s="205">
        <v>0</v>
      </c>
      <c r="I41" s="205">
        <v>0</v>
      </c>
      <c r="J41" s="205">
        <v>0</v>
      </c>
      <c r="K41" s="205">
        <v>0</v>
      </c>
      <c r="L41" s="205">
        <v>0</v>
      </c>
      <c r="M41" s="204">
        <v>921012250</v>
      </c>
      <c r="N41" s="205">
        <v>0</v>
      </c>
      <c r="O41" s="204">
        <v>541442286</v>
      </c>
      <c r="P41" s="204">
        <v>541442286</v>
      </c>
      <c r="Q41" s="205">
        <v>0</v>
      </c>
      <c r="R41" s="204">
        <v>379569964</v>
      </c>
      <c r="S41" s="205">
        <v>0</v>
      </c>
      <c r="T41" s="204">
        <v>541442286</v>
      </c>
      <c r="U41" s="204">
        <v>541442286</v>
      </c>
      <c r="V41" s="204">
        <v>379569964</v>
      </c>
      <c r="W41" s="204">
        <v>29460762</v>
      </c>
      <c r="X41" s="205">
        <v>0</v>
      </c>
      <c r="Y41" s="204">
        <v>29460762</v>
      </c>
      <c r="Z41" s="204">
        <v>29460762</v>
      </c>
      <c r="AA41" s="204">
        <v>511981524</v>
      </c>
    </row>
    <row r="42" spans="1:27" ht="16.5" hidden="1" customHeight="1" x14ac:dyDescent="0.25">
      <c r="A42" s="203" t="s">
        <v>539</v>
      </c>
      <c r="B42" s="203" t="s">
        <v>618</v>
      </c>
      <c r="C42" s="203" t="s">
        <v>541</v>
      </c>
      <c r="D42" s="203" t="s">
        <v>619</v>
      </c>
      <c r="E42" s="203" t="s">
        <v>539</v>
      </c>
      <c r="F42" s="204">
        <v>46032000</v>
      </c>
      <c r="G42" s="205">
        <v>0</v>
      </c>
      <c r="H42" s="205">
        <v>0</v>
      </c>
      <c r="I42" s="205">
        <v>0</v>
      </c>
      <c r="J42" s="205">
        <v>0</v>
      </c>
      <c r="K42" s="205">
        <v>0</v>
      </c>
      <c r="L42" s="205">
        <v>0</v>
      </c>
      <c r="M42" s="204">
        <v>46032000</v>
      </c>
      <c r="N42" s="205">
        <v>0</v>
      </c>
      <c r="O42" s="204">
        <v>4176000</v>
      </c>
      <c r="P42" s="204">
        <v>4176000</v>
      </c>
      <c r="Q42" s="205">
        <v>0</v>
      </c>
      <c r="R42" s="204">
        <v>41856000</v>
      </c>
      <c r="S42" s="205">
        <v>0</v>
      </c>
      <c r="T42" s="204">
        <v>4176000</v>
      </c>
      <c r="U42" s="204">
        <v>4176000</v>
      </c>
      <c r="V42" s="204">
        <v>41856000</v>
      </c>
      <c r="W42" s="204">
        <v>522000</v>
      </c>
      <c r="X42" s="205">
        <v>0</v>
      </c>
      <c r="Y42" s="204">
        <v>522000</v>
      </c>
      <c r="Z42" s="204">
        <v>522000</v>
      </c>
      <c r="AA42" s="204">
        <v>3654000</v>
      </c>
    </row>
    <row r="43" spans="1:27" ht="16.5" hidden="1" customHeight="1" x14ac:dyDescent="0.25">
      <c r="A43" s="203" t="s">
        <v>767</v>
      </c>
      <c r="B43" s="203" t="s">
        <v>624</v>
      </c>
      <c r="C43" s="203" t="s">
        <v>541</v>
      </c>
      <c r="D43" s="203" t="s">
        <v>625</v>
      </c>
      <c r="E43" s="203" t="s">
        <v>556</v>
      </c>
      <c r="F43" s="204">
        <v>46032000</v>
      </c>
      <c r="G43" s="205">
        <v>0</v>
      </c>
      <c r="H43" s="205">
        <v>0</v>
      </c>
      <c r="I43" s="205">
        <v>0</v>
      </c>
      <c r="J43" s="205">
        <v>0</v>
      </c>
      <c r="K43" s="205">
        <v>0</v>
      </c>
      <c r="L43" s="205">
        <v>0</v>
      </c>
      <c r="M43" s="204">
        <v>46032000</v>
      </c>
      <c r="N43" s="205">
        <v>0</v>
      </c>
      <c r="O43" s="204">
        <v>4176000</v>
      </c>
      <c r="P43" s="204">
        <v>4176000</v>
      </c>
      <c r="Q43" s="205">
        <v>0</v>
      </c>
      <c r="R43" s="204">
        <v>41856000</v>
      </c>
      <c r="S43" s="205">
        <v>0</v>
      </c>
      <c r="T43" s="204">
        <v>4176000</v>
      </c>
      <c r="U43" s="204">
        <v>4176000</v>
      </c>
      <c r="V43" s="204">
        <v>41856000</v>
      </c>
      <c r="W43" s="204">
        <v>522000</v>
      </c>
      <c r="X43" s="205">
        <v>0</v>
      </c>
      <c r="Y43" s="204">
        <v>522000</v>
      </c>
      <c r="Z43" s="204">
        <v>522000</v>
      </c>
      <c r="AA43" s="204">
        <v>3654000</v>
      </c>
    </row>
    <row r="44" spans="1:27" ht="16.5" hidden="1" customHeight="1" x14ac:dyDescent="0.25">
      <c r="A44" s="203" t="s">
        <v>539</v>
      </c>
      <c r="B44" s="203" t="s">
        <v>629</v>
      </c>
      <c r="C44" s="203" t="s">
        <v>541</v>
      </c>
      <c r="D44" s="203" t="s">
        <v>630</v>
      </c>
      <c r="E44" s="203" t="s">
        <v>539</v>
      </c>
      <c r="F44" s="204">
        <v>874980250</v>
      </c>
      <c r="G44" s="205">
        <v>0</v>
      </c>
      <c r="H44" s="205">
        <v>0</v>
      </c>
      <c r="I44" s="205">
        <v>0</v>
      </c>
      <c r="J44" s="205">
        <v>0</v>
      </c>
      <c r="K44" s="205">
        <v>0</v>
      </c>
      <c r="L44" s="205">
        <v>0</v>
      </c>
      <c r="M44" s="204">
        <v>874980250</v>
      </c>
      <c r="N44" s="205">
        <v>0</v>
      </c>
      <c r="O44" s="204">
        <v>537266286</v>
      </c>
      <c r="P44" s="204">
        <v>537266286</v>
      </c>
      <c r="Q44" s="205">
        <v>0</v>
      </c>
      <c r="R44" s="204">
        <v>337713964</v>
      </c>
      <c r="S44" s="205">
        <v>0</v>
      </c>
      <c r="T44" s="204">
        <v>537266286</v>
      </c>
      <c r="U44" s="204">
        <v>537266286</v>
      </c>
      <c r="V44" s="204">
        <v>337713964</v>
      </c>
      <c r="W44" s="204">
        <v>28938762</v>
      </c>
      <c r="X44" s="205">
        <v>0</v>
      </c>
      <c r="Y44" s="204">
        <v>28938762</v>
      </c>
      <c r="Z44" s="204">
        <v>28938762</v>
      </c>
      <c r="AA44" s="204">
        <v>508327524</v>
      </c>
    </row>
    <row r="45" spans="1:27" ht="16.5" hidden="1" customHeight="1" x14ac:dyDescent="0.25">
      <c r="A45" s="203" t="s">
        <v>539</v>
      </c>
      <c r="B45" s="203" t="s">
        <v>632</v>
      </c>
      <c r="C45" s="203" t="s">
        <v>541</v>
      </c>
      <c r="D45" s="203" t="s">
        <v>633</v>
      </c>
      <c r="E45" s="203" t="s">
        <v>539</v>
      </c>
      <c r="F45" s="204">
        <v>33288000</v>
      </c>
      <c r="G45" s="205">
        <v>0</v>
      </c>
      <c r="H45" s="205">
        <v>0</v>
      </c>
      <c r="I45" s="205">
        <v>0</v>
      </c>
      <c r="J45" s="205">
        <v>0</v>
      </c>
      <c r="K45" s="205">
        <v>0</v>
      </c>
      <c r="L45" s="205">
        <v>0</v>
      </c>
      <c r="M45" s="204">
        <v>33288000</v>
      </c>
      <c r="N45" s="205">
        <v>0</v>
      </c>
      <c r="O45" s="204">
        <v>2837429</v>
      </c>
      <c r="P45" s="204">
        <v>2837429</v>
      </c>
      <c r="Q45" s="205">
        <v>0</v>
      </c>
      <c r="R45" s="204">
        <v>30450571</v>
      </c>
      <c r="S45" s="205">
        <v>0</v>
      </c>
      <c r="T45" s="204">
        <v>2837429</v>
      </c>
      <c r="U45" s="204">
        <v>2837429</v>
      </c>
      <c r="V45" s="204">
        <v>30450571</v>
      </c>
      <c r="W45" s="204">
        <v>401429</v>
      </c>
      <c r="X45" s="205">
        <v>0</v>
      </c>
      <c r="Y45" s="204">
        <v>401429</v>
      </c>
      <c r="Z45" s="204">
        <v>401429</v>
      </c>
      <c r="AA45" s="204">
        <v>2436000</v>
      </c>
    </row>
    <row r="46" spans="1:27" ht="16.5" hidden="1" customHeight="1" x14ac:dyDescent="0.25">
      <c r="A46" s="203" t="s">
        <v>768</v>
      </c>
      <c r="B46" s="203" t="s">
        <v>769</v>
      </c>
      <c r="C46" s="203" t="s">
        <v>541</v>
      </c>
      <c r="D46" s="203" t="s">
        <v>633</v>
      </c>
      <c r="E46" s="203" t="s">
        <v>556</v>
      </c>
      <c r="F46" s="204">
        <v>10188000</v>
      </c>
      <c r="G46" s="205">
        <v>0</v>
      </c>
      <c r="H46" s="205">
        <v>0</v>
      </c>
      <c r="I46" s="205">
        <v>0</v>
      </c>
      <c r="J46" s="205">
        <v>0</v>
      </c>
      <c r="K46" s="205">
        <v>0</v>
      </c>
      <c r="L46" s="205">
        <v>0</v>
      </c>
      <c r="M46" s="204">
        <v>10188000</v>
      </c>
      <c r="N46" s="205">
        <v>0</v>
      </c>
      <c r="O46" s="204">
        <v>2784000</v>
      </c>
      <c r="P46" s="204">
        <v>2784000</v>
      </c>
      <c r="Q46" s="205">
        <v>0</v>
      </c>
      <c r="R46" s="204">
        <v>7404000</v>
      </c>
      <c r="S46" s="205">
        <v>0</v>
      </c>
      <c r="T46" s="204">
        <v>2784000</v>
      </c>
      <c r="U46" s="204">
        <v>2784000</v>
      </c>
      <c r="V46" s="204">
        <v>7404000</v>
      </c>
      <c r="W46" s="204">
        <v>348000</v>
      </c>
      <c r="X46" s="205">
        <v>0</v>
      </c>
      <c r="Y46" s="204">
        <v>348000</v>
      </c>
      <c r="Z46" s="204">
        <v>348000</v>
      </c>
      <c r="AA46" s="204">
        <v>2436000</v>
      </c>
    </row>
    <row r="47" spans="1:27" ht="16.5" hidden="1" customHeight="1" x14ac:dyDescent="0.25">
      <c r="A47" s="203" t="s">
        <v>770</v>
      </c>
      <c r="B47" s="203" t="s">
        <v>771</v>
      </c>
      <c r="C47" s="203" t="s">
        <v>541</v>
      </c>
      <c r="D47" s="203" t="s">
        <v>772</v>
      </c>
      <c r="E47" s="203" t="s">
        <v>556</v>
      </c>
      <c r="F47" s="204">
        <v>23100000</v>
      </c>
      <c r="G47" s="205">
        <v>0</v>
      </c>
      <c r="H47" s="205">
        <v>0</v>
      </c>
      <c r="I47" s="205">
        <v>0</v>
      </c>
      <c r="J47" s="205">
        <v>0</v>
      </c>
      <c r="K47" s="205">
        <v>0</v>
      </c>
      <c r="L47" s="205">
        <v>0</v>
      </c>
      <c r="M47" s="204">
        <v>23100000</v>
      </c>
      <c r="N47" s="205">
        <v>0</v>
      </c>
      <c r="O47" s="204">
        <v>53429</v>
      </c>
      <c r="P47" s="204">
        <v>53429</v>
      </c>
      <c r="Q47" s="205">
        <v>0</v>
      </c>
      <c r="R47" s="204">
        <v>23046571</v>
      </c>
      <c r="S47" s="205">
        <v>0</v>
      </c>
      <c r="T47" s="204">
        <v>53429</v>
      </c>
      <c r="U47" s="204">
        <v>53429</v>
      </c>
      <c r="V47" s="204">
        <v>23046571</v>
      </c>
      <c r="W47" s="204">
        <v>53429</v>
      </c>
      <c r="X47" s="205">
        <v>0</v>
      </c>
      <c r="Y47" s="204">
        <v>53429</v>
      </c>
      <c r="Z47" s="204">
        <v>53429</v>
      </c>
      <c r="AA47" s="205">
        <v>0</v>
      </c>
    </row>
    <row r="48" spans="1:27" ht="16.5" hidden="1" customHeight="1" x14ac:dyDescent="0.25">
      <c r="A48" s="203" t="s">
        <v>539</v>
      </c>
      <c r="B48" s="203" t="s">
        <v>635</v>
      </c>
      <c r="C48" s="203" t="s">
        <v>541</v>
      </c>
      <c r="D48" s="203" t="s">
        <v>636</v>
      </c>
      <c r="E48" s="203" t="s">
        <v>539</v>
      </c>
      <c r="F48" s="204">
        <v>348039290</v>
      </c>
      <c r="G48" s="205">
        <v>0</v>
      </c>
      <c r="H48" s="205">
        <v>0</v>
      </c>
      <c r="I48" s="205">
        <v>0</v>
      </c>
      <c r="J48" s="205">
        <v>0</v>
      </c>
      <c r="K48" s="205">
        <v>0</v>
      </c>
      <c r="L48" s="205">
        <v>0</v>
      </c>
      <c r="M48" s="204">
        <v>348039290</v>
      </c>
      <c r="N48" s="205">
        <v>0</v>
      </c>
      <c r="O48" s="204">
        <v>324818190</v>
      </c>
      <c r="P48" s="204">
        <v>324818190</v>
      </c>
      <c r="Q48" s="205">
        <v>0</v>
      </c>
      <c r="R48" s="204">
        <v>23221100</v>
      </c>
      <c r="S48" s="205">
        <v>0</v>
      </c>
      <c r="T48" s="204">
        <v>324818190</v>
      </c>
      <c r="U48" s="204">
        <v>324818190</v>
      </c>
      <c r="V48" s="204">
        <v>23221100</v>
      </c>
      <c r="W48" s="205">
        <v>0</v>
      </c>
      <c r="X48" s="205">
        <v>0</v>
      </c>
      <c r="Y48" s="205">
        <v>0</v>
      </c>
      <c r="Z48" s="205">
        <v>0</v>
      </c>
      <c r="AA48" s="204">
        <v>324818190</v>
      </c>
    </row>
    <row r="49" spans="1:27" ht="16.5" hidden="1" customHeight="1" x14ac:dyDescent="0.25">
      <c r="A49" s="203" t="s">
        <v>773</v>
      </c>
      <c r="B49" s="203" t="s">
        <v>774</v>
      </c>
      <c r="C49" s="203" t="s">
        <v>541</v>
      </c>
      <c r="D49" s="203" t="s">
        <v>775</v>
      </c>
      <c r="E49" s="203" t="s">
        <v>556</v>
      </c>
      <c r="F49" s="204">
        <v>300062900</v>
      </c>
      <c r="G49" s="205">
        <v>0</v>
      </c>
      <c r="H49" s="205">
        <v>0</v>
      </c>
      <c r="I49" s="205">
        <v>0</v>
      </c>
      <c r="J49" s="205">
        <v>0</v>
      </c>
      <c r="K49" s="205">
        <v>0</v>
      </c>
      <c r="L49" s="205">
        <v>0</v>
      </c>
      <c r="M49" s="204">
        <v>300062900</v>
      </c>
      <c r="N49" s="205">
        <v>0</v>
      </c>
      <c r="O49" s="204">
        <v>300062900</v>
      </c>
      <c r="P49" s="204">
        <v>300062900</v>
      </c>
      <c r="Q49" s="205">
        <v>0</v>
      </c>
      <c r="R49" s="205">
        <v>0</v>
      </c>
      <c r="S49" s="205">
        <v>0</v>
      </c>
      <c r="T49" s="204">
        <v>300062900</v>
      </c>
      <c r="U49" s="204">
        <v>300062900</v>
      </c>
      <c r="V49" s="205">
        <v>0</v>
      </c>
      <c r="W49" s="205">
        <v>0</v>
      </c>
      <c r="X49" s="205">
        <v>0</v>
      </c>
      <c r="Y49" s="205">
        <v>0</v>
      </c>
      <c r="Z49" s="205">
        <v>0</v>
      </c>
      <c r="AA49" s="204">
        <v>300062900</v>
      </c>
    </row>
    <row r="50" spans="1:27" ht="16.5" hidden="1" customHeight="1" x14ac:dyDescent="0.25">
      <c r="A50" s="203" t="s">
        <v>776</v>
      </c>
      <c r="B50" s="203" t="s">
        <v>777</v>
      </c>
      <c r="C50" s="203" t="s">
        <v>541</v>
      </c>
      <c r="D50" s="203" t="s">
        <v>636</v>
      </c>
      <c r="E50" s="203" t="s">
        <v>556</v>
      </c>
      <c r="F50" s="204">
        <v>47976390</v>
      </c>
      <c r="G50" s="205">
        <v>0</v>
      </c>
      <c r="H50" s="205">
        <v>0</v>
      </c>
      <c r="I50" s="205">
        <v>0</v>
      </c>
      <c r="J50" s="205">
        <v>0</v>
      </c>
      <c r="K50" s="205">
        <v>0</v>
      </c>
      <c r="L50" s="205">
        <v>0</v>
      </c>
      <c r="M50" s="204">
        <v>47976390</v>
      </c>
      <c r="N50" s="205">
        <v>0</v>
      </c>
      <c r="O50" s="204">
        <v>24755290</v>
      </c>
      <c r="P50" s="204">
        <v>24755290</v>
      </c>
      <c r="Q50" s="205">
        <v>0</v>
      </c>
      <c r="R50" s="204">
        <v>23221100</v>
      </c>
      <c r="S50" s="205">
        <v>0</v>
      </c>
      <c r="T50" s="204">
        <v>24755290</v>
      </c>
      <c r="U50" s="204">
        <v>24755290</v>
      </c>
      <c r="V50" s="204">
        <v>23221100</v>
      </c>
      <c r="W50" s="205">
        <v>0</v>
      </c>
      <c r="X50" s="205">
        <v>0</v>
      </c>
      <c r="Y50" s="205">
        <v>0</v>
      </c>
      <c r="Z50" s="205">
        <v>0</v>
      </c>
      <c r="AA50" s="204">
        <v>24755290</v>
      </c>
    </row>
    <row r="51" spans="1:27" ht="16.5" hidden="1" customHeight="1" x14ac:dyDescent="0.25">
      <c r="A51" s="203" t="s">
        <v>778</v>
      </c>
      <c r="B51" s="203" t="s">
        <v>638</v>
      </c>
      <c r="C51" s="203" t="s">
        <v>541</v>
      </c>
      <c r="D51" s="203" t="s">
        <v>639</v>
      </c>
      <c r="E51" s="203" t="s">
        <v>556</v>
      </c>
      <c r="F51" s="204">
        <v>128071960</v>
      </c>
      <c r="G51" s="205">
        <v>0</v>
      </c>
      <c r="H51" s="205">
        <v>0</v>
      </c>
      <c r="I51" s="205">
        <v>0</v>
      </c>
      <c r="J51" s="205">
        <v>0</v>
      </c>
      <c r="K51" s="205">
        <v>0</v>
      </c>
      <c r="L51" s="205">
        <v>0</v>
      </c>
      <c r="M51" s="204">
        <v>128071960</v>
      </c>
      <c r="N51" s="205">
        <v>0</v>
      </c>
      <c r="O51" s="204">
        <v>10375600</v>
      </c>
      <c r="P51" s="204">
        <v>10375600</v>
      </c>
      <c r="Q51" s="205">
        <v>0</v>
      </c>
      <c r="R51" s="204">
        <v>117696360</v>
      </c>
      <c r="S51" s="205">
        <v>0</v>
      </c>
      <c r="T51" s="204">
        <v>10375600</v>
      </c>
      <c r="U51" s="204">
        <v>10375600</v>
      </c>
      <c r="V51" s="204">
        <v>117696360</v>
      </c>
      <c r="W51" s="204">
        <v>4285600</v>
      </c>
      <c r="X51" s="205">
        <v>0</v>
      </c>
      <c r="Y51" s="204">
        <v>4285600</v>
      </c>
      <c r="Z51" s="204">
        <v>4285600</v>
      </c>
      <c r="AA51" s="204">
        <v>6090000</v>
      </c>
    </row>
    <row r="52" spans="1:27" ht="16.5" hidden="1" customHeight="1" x14ac:dyDescent="0.25">
      <c r="A52" s="203" t="s">
        <v>539</v>
      </c>
      <c r="B52" s="203" t="s">
        <v>641</v>
      </c>
      <c r="C52" s="203" t="s">
        <v>541</v>
      </c>
      <c r="D52" s="203" t="s">
        <v>642</v>
      </c>
      <c r="E52" s="203" t="s">
        <v>539</v>
      </c>
      <c r="F52" s="204">
        <v>358081000</v>
      </c>
      <c r="G52" s="205">
        <v>0</v>
      </c>
      <c r="H52" s="205">
        <v>0</v>
      </c>
      <c r="I52" s="205">
        <v>0</v>
      </c>
      <c r="J52" s="205">
        <v>0</v>
      </c>
      <c r="K52" s="205">
        <v>0</v>
      </c>
      <c r="L52" s="205">
        <v>0</v>
      </c>
      <c r="M52" s="204">
        <v>358081000</v>
      </c>
      <c r="N52" s="205">
        <v>0</v>
      </c>
      <c r="O52" s="204">
        <v>198080000</v>
      </c>
      <c r="P52" s="204">
        <v>198080000</v>
      </c>
      <c r="Q52" s="205">
        <v>0</v>
      </c>
      <c r="R52" s="204">
        <v>160001000</v>
      </c>
      <c r="S52" s="205">
        <v>0</v>
      </c>
      <c r="T52" s="204">
        <v>198080000</v>
      </c>
      <c r="U52" s="204">
        <v>198080000</v>
      </c>
      <c r="V52" s="204">
        <v>160001000</v>
      </c>
      <c r="W52" s="204">
        <v>23096666</v>
      </c>
      <c r="X52" s="205">
        <v>0</v>
      </c>
      <c r="Y52" s="204">
        <v>23096666</v>
      </c>
      <c r="Z52" s="204">
        <v>23096666</v>
      </c>
      <c r="AA52" s="204">
        <v>174983334</v>
      </c>
    </row>
    <row r="53" spans="1:27" ht="16.5" hidden="1" customHeight="1" x14ac:dyDescent="0.25">
      <c r="A53" s="203" t="s">
        <v>779</v>
      </c>
      <c r="B53" s="203" t="s">
        <v>780</v>
      </c>
      <c r="C53" s="203" t="s">
        <v>541</v>
      </c>
      <c r="D53" s="203" t="s">
        <v>642</v>
      </c>
      <c r="E53" s="203" t="s">
        <v>556</v>
      </c>
      <c r="F53" s="204">
        <v>284008943</v>
      </c>
      <c r="G53" s="205">
        <v>0</v>
      </c>
      <c r="H53" s="205">
        <v>0</v>
      </c>
      <c r="I53" s="205">
        <v>0</v>
      </c>
      <c r="J53" s="205">
        <v>0</v>
      </c>
      <c r="K53" s="205">
        <v>0</v>
      </c>
      <c r="L53" s="205">
        <v>0</v>
      </c>
      <c r="M53" s="204">
        <v>284008943</v>
      </c>
      <c r="N53" s="205">
        <v>0</v>
      </c>
      <c r="O53" s="204">
        <v>198080000</v>
      </c>
      <c r="P53" s="204">
        <v>198080000</v>
      </c>
      <c r="Q53" s="205">
        <v>0</v>
      </c>
      <c r="R53" s="204">
        <v>85928943</v>
      </c>
      <c r="S53" s="205">
        <v>0</v>
      </c>
      <c r="T53" s="204">
        <v>198080000</v>
      </c>
      <c r="U53" s="204">
        <v>198080000</v>
      </c>
      <c r="V53" s="204">
        <v>85928943</v>
      </c>
      <c r="W53" s="204">
        <v>23096666</v>
      </c>
      <c r="X53" s="205">
        <v>0</v>
      </c>
      <c r="Y53" s="204">
        <v>23096666</v>
      </c>
      <c r="Z53" s="204">
        <v>23096666</v>
      </c>
      <c r="AA53" s="204">
        <v>174983334</v>
      </c>
    </row>
    <row r="54" spans="1:27" ht="16.5" hidden="1" customHeight="1" x14ac:dyDescent="0.25">
      <c r="A54" s="203" t="s">
        <v>781</v>
      </c>
      <c r="B54" s="203" t="s">
        <v>782</v>
      </c>
      <c r="C54" s="203" t="s">
        <v>541</v>
      </c>
      <c r="D54" s="203" t="s">
        <v>642</v>
      </c>
      <c r="E54" s="203" t="s">
        <v>783</v>
      </c>
      <c r="F54" s="204">
        <v>74072057</v>
      </c>
      <c r="G54" s="205">
        <v>0</v>
      </c>
      <c r="H54" s="205">
        <v>0</v>
      </c>
      <c r="I54" s="205">
        <v>0</v>
      </c>
      <c r="J54" s="205">
        <v>0</v>
      </c>
      <c r="K54" s="205">
        <v>0</v>
      </c>
      <c r="L54" s="205">
        <v>0</v>
      </c>
      <c r="M54" s="204">
        <v>74072057</v>
      </c>
      <c r="N54" s="205">
        <v>0</v>
      </c>
      <c r="O54" s="205">
        <v>0</v>
      </c>
      <c r="P54" s="205">
        <v>0</v>
      </c>
      <c r="Q54" s="205">
        <v>0</v>
      </c>
      <c r="R54" s="204">
        <v>74072057</v>
      </c>
      <c r="S54" s="205">
        <v>0</v>
      </c>
      <c r="T54" s="205">
        <v>0</v>
      </c>
      <c r="U54" s="205">
        <v>0</v>
      </c>
      <c r="V54" s="204">
        <v>74072057</v>
      </c>
      <c r="W54" s="205">
        <v>0</v>
      </c>
      <c r="X54" s="205">
        <v>0</v>
      </c>
      <c r="Y54" s="205">
        <v>0</v>
      </c>
      <c r="Z54" s="205">
        <v>0</v>
      </c>
      <c r="AA54" s="205">
        <v>0</v>
      </c>
    </row>
    <row r="55" spans="1:27" ht="16.5" hidden="1" customHeight="1" x14ac:dyDescent="0.25">
      <c r="A55" s="203" t="s">
        <v>784</v>
      </c>
      <c r="B55" s="203" t="s">
        <v>569</v>
      </c>
      <c r="C55" s="203" t="s">
        <v>541</v>
      </c>
      <c r="D55" s="203" t="s">
        <v>570</v>
      </c>
      <c r="E55" s="203" t="s">
        <v>571</v>
      </c>
      <c r="F55" s="204">
        <v>7500000</v>
      </c>
      <c r="G55" s="205">
        <v>0</v>
      </c>
      <c r="H55" s="205">
        <v>0</v>
      </c>
      <c r="I55" s="205">
        <v>0</v>
      </c>
      <c r="J55" s="205">
        <v>0</v>
      </c>
      <c r="K55" s="205">
        <v>0</v>
      </c>
      <c r="L55" s="205">
        <v>0</v>
      </c>
      <c r="M55" s="204">
        <v>7500000</v>
      </c>
      <c r="N55" s="205">
        <v>0</v>
      </c>
      <c r="O55" s="204">
        <v>1155067</v>
      </c>
      <c r="P55" s="204">
        <v>1155067</v>
      </c>
      <c r="Q55" s="205">
        <v>0</v>
      </c>
      <c r="R55" s="204">
        <v>6344933</v>
      </c>
      <c r="S55" s="205">
        <v>0</v>
      </c>
      <c r="T55" s="204">
        <v>1155067</v>
      </c>
      <c r="U55" s="204">
        <v>1155067</v>
      </c>
      <c r="V55" s="204">
        <v>6344933</v>
      </c>
      <c r="W55" s="204">
        <v>1155067</v>
      </c>
      <c r="X55" s="205">
        <v>0</v>
      </c>
      <c r="Y55" s="204">
        <v>1155067</v>
      </c>
      <c r="Z55" s="204">
        <v>1155067</v>
      </c>
      <c r="AA55" s="205">
        <v>0</v>
      </c>
    </row>
    <row r="56" spans="1:27" ht="16.5" hidden="1" customHeight="1" x14ac:dyDescent="0.25">
      <c r="A56" s="203" t="s">
        <v>539</v>
      </c>
      <c r="B56" s="203" t="s">
        <v>643</v>
      </c>
      <c r="C56" s="203" t="s">
        <v>541</v>
      </c>
      <c r="D56" s="203" t="s">
        <v>644</v>
      </c>
      <c r="E56" s="203" t="s">
        <v>539</v>
      </c>
      <c r="F56" s="204">
        <v>25927943</v>
      </c>
      <c r="G56" s="205">
        <v>0</v>
      </c>
      <c r="H56" s="205">
        <v>0</v>
      </c>
      <c r="I56" s="205">
        <v>0</v>
      </c>
      <c r="J56" s="205">
        <v>0</v>
      </c>
      <c r="K56" s="205">
        <v>0</v>
      </c>
      <c r="L56" s="205">
        <v>0</v>
      </c>
      <c r="M56" s="204">
        <v>25927943</v>
      </c>
      <c r="N56" s="205">
        <v>0</v>
      </c>
      <c r="O56" s="205">
        <v>0</v>
      </c>
      <c r="P56" s="205">
        <v>0</v>
      </c>
      <c r="Q56" s="205">
        <v>0</v>
      </c>
      <c r="R56" s="204">
        <v>25927943</v>
      </c>
      <c r="S56" s="205">
        <v>0</v>
      </c>
      <c r="T56" s="205">
        <v>0</v>
      </c>
      <c r="U56" s="205">
        <v>0</v>
      </c>
      <c r="V56" s="204">
        <v>25927943</v>
      </c>
      <c r="W56" s="205">
        <v>0</v>
      </c>
      <c r="X56" s="205">
        <v>0</v>
      </c>
      <c r="Y56" s="205">
        <v>0</v>
      </c>
      <c r="Z56" s="205">
        <v>0</v>
      </c>
      <c r="AA56" s="205">
        <v>0</v>
      </c>
    </row>
    <row r="57" spans="1:27" ht="16.5" customHeight="1" x14ac:dyDescent="0.25">
      <c r="A57" s="203" t="s">
        <v>539</v>
      </c>
      <c r="B57" s="203" t="s">
        <v>645</v>
      </c>
      <c r="C57" s="203" t="s">
        <v>541</v>
      </c>
      <c r="D57" s="203" t="s">
        <v>646</v>
      </c>
      <c r="E57" s="203" t="s">
        <v>539</v>
      </c>
      <c r="F57" s="204">
        <v>25927943</v>
      </c>
      <c r="G57" s="205">
        <v>0</v>
      </c>
      <c r="H57" s="205">
        <v>0</v>
      </c>
      <c r="I57" s="205">
        <v>0</v>
      </c>
      <c r="J57" s="205">
        <v>0</v>
      </c>
      <c r="K57" s="205">
        <v>0</v>
      </c>
      <c r="L57" s="205">
        <v>0</v>
      </c>
      <c r="M57" s="204">
        <v>25927943</v>
      </c>
      <c r="N57" s="205">
        <v>0</v>
      </c>
      <c r="O57" s="205">
        <v>0</v>
      </c>
      <c r="P57" s="205">
        <v>0</v>
      </c>
      <c r="Q57" s="205">
        <v>0</v>
      </c>
      <c r="R57" s="204">
        <v>25927943</v>
      </c>
      <c r="S57" s="205">
        <v>0</v>
      </c>
      <c r="T57" s="205">
        <v>0</v>
      </c>
      <c r="U57" s="205">
        <v>0</v>
      </c>
      <c r="V57" s="204">
        <v>25927943</v>
      </c>
      <c r="W57" s="205">
        <v>0</v>
      </c>
      <c r="X57" s="205">
        <v>0</v>
      </c>
      <c r="Y57" s="205">
        <v>0</v>
      </c>
      <c r="Z57" s="205">
        <v>0</v>
      </c>
      <c r="AA57" s="205">
        <v>0</v>
      </c>
    </row>
    <row r="58" spans="1:27" ht="16.5" hidden="1" customHeight="1" x14ac:dyDescent="0.25">
      <c r="A58" s="203" t="s">
        <v>539</v>
      </c>
      <c r="B58" s="203" t="s">
        <v>647</v>
      </c>
      <c r="C58" s="203" t="s">
        <v>541</v>
      </c>
      <c r="D58" s="203" t="s">
        <v>648</v>
      </c>
      <c r="E58" s="203" t="s">
        <v>539</v>
      </c>
      <c r="F58" s="204">
        <v>25927943</v>
      </c>
      <c r="G58" s="205">
        <v>0</v>
      </c>
      <c r="H58" s="205">
        <v>0</v>
      </c>
      <c r="I58" s="205">
        <v>0</v>
      </c>
      <c r="J58" s="205">
        <v>0</v>
      </c>
      <c r="K58" s="205">
        <v>0</v>
      </c>
      <c r="L58" s="205">
        <v>0</v>
      </c>
      <c r="M58" s="204">
        <v>25927943</v>
      </c>
      <c r="N58" s="205">
        <v>0</v>
      </c>
      <c r="O58" s="205">
        <v>0</v>
      </c>
      <c r="P58" s="205">
        <v>0</v>
      </c>
      <c r="Q58" s="205">
        <v>0</v>
      </c>
      <c r="R58" s="204">
        <v>25927943</v>
      </c>
      <c r="S58" s="205">
        <v>0</v>
      </c>
      <c r="T58" s="205">
        <v>0</v>
      </c>
      <c r="U58" s="205">
        <v>0</v>
      </c>
      <c r="V58" s="204">
        <v>25927943</v>
      </c>
      <c r="W58" s="205">
        <v>0</v>
      </c>
      <c r="X58" s="205">
        <v>0</v>
      </c>
      <c r="Y58" s="205">
        <v>0</v>
      </c>
      <c r="Z58" s="205">
        <v>0</v>
      </c>
      <c r="AA58" s="205">
        <v>0</v>
      </c>
    </row>
    <row r="59" spans="1:27" ht="16.5" hidden="1" customHeight="1" x14ac:dyDescent="0.25">
      <c r="A59" s="203" t="s">
        <v>785</v>
      </c>
      <c r="B59" s="203" t="s">
        <v>650</v>
      </c>
      <c r="C59" s="203" t="s">
        <v>541</v>
      </c>
      <c r="D59" s="203" t="s">
        <v>651</v>
      </c>
      <c r="E59" s="203" t="s">
        <v>556</v>
      </c>
      <c r="F59" s="204">
        <v>25927943</v>
      </c>
      <c r="G59" s="205">
        <v>0</v>
      </c>
      <c r="H59" s="205">
        <v>0</v>
      </c>
      <c r="I59" s="205">
        <v>0</v>
      </c>
      <c r="J59" s="205">
        <v>0</v>
      </c>
      <c r="K59" s="205">
        <v>0</v>
      </c>
      <c r="L59" s="205">
        <v>0</v>
      </c>
      <c r="M59" s="204">
        <v>25927943</v>
      </c>
      <c r="N59" s="205">
        <v>0</v>
      </c>
      <c r="O59" s="205">
        <v>0</v>
      </c>
      <c r="P59" s="205">
        <v>0</v>
      </c>
      <c r="Q59" s="205">
        <v>0</v>
      </c>
      <c r="R59" s="204">
        <v>25927943</v>
      </c>
      <c r="S59" s="205">
        <v>0</v>
      </c>
      <c r="T59" s="205">
        <v>0</v>
      </c>
      <c r="U59" s="205">
        <v>0</v>
      </c>
      <c r="V59" s="204">
        <v>25927943</v>
      </c>
      <c r="W59" s="205">
        <v>0</v>
      </c>
      <c r="X59" s="205">
        <v>0</v>
      </c>
      <c r="Y59" s="205">
        <v>0</v>
      </c>
      <c r="Z59" s="205">
        <v>0</v>
      </c>
      <c r="AA59" s="205">
        <v>0</v>
      </c>
    </row>
    <row r="60" spans="1:27" ht="16.5" hidden="1" customHeight="1" x14ac:dyDescent="0.25">
      <c r="A60" s="203" t="s">
        <v>539</v>
      </c>
      <c r="B60" s="203" t="s">
        <v>653</v>
      </c>
      <c r="C60" s="203" t="s">
        <v>541</v>
      </c>
      <c r="D60" s="203" t="s">
        <v>654</v>
      </c>
      <c r="E60" s="203" t="s">
        <v>539</v>
      </c>
      <c r="F60" s="204">
        <v>42616000</v>
      </c>
      <c r="G60" s="205">
        <v>0</v>
      </c>
      <c r="H60" s="205">
        <v>0</v>
      </c>
      <c r="I60" s="205">
        <v>0</v>
      </c>
      <c r="J60" s="205">
        <v>0</v>
      </c>
      <c r="K60" s="205">
        <v>0</v>
      </c>
      <c r="L60" s="205">
        <v>0</v>
      </c>
      <c r="M60" s="204">
        <v>42616000</v>
      </c>
      <c r="N60" s="205">
        <v>0</v>
      </c>
      <c r="O60" s="204">
        <v>42616000</v>
      </c>
      <c r="P60" s="204">
        <v>42616000</v>
      </c>
      <c r="Q60" s="205">
        <v>0</v>
      </c>
      <c r="R60" s="205">
        <v>0</v>
      </c>
      <c r="S60" s="205">
        <v>0</v>
      </c>
      <c r="T60" s="204">
        <v>42616000</v>
      </c>
      <c r="U60" s="204">
        <v>42616000</v>
      </c>
      <c r="V60" s="205">
        <v>0</v>
      </c>
      <c r="W60" s="204">
        <v>7102666.6600000001</v>
      </c>
      <c r="X60" s="205">
        <v>0</v>
      </c>
      <c r="Y60" s="204">
        <v>7102666.6600000001</v>
      </c>
      <c r="Z60" s="204">
        <v>7102666.6600000001</v>
      </c>
      <c r="AA60" s="204">
        <v>35513333.340000004</v>
      </c>
    </row>
    <row r="61" spans="1:27" ht="16.5" hidden="1" customHeight="1" x14ac:dyDescent="0.25">
      <c r="A61" s="203" t="s">
        <v>539</v>
      </c>
      <c r="B61" s="203" t="s">
        <v>655</v>
      </c>
      <c r="C61" s="203" t="s">
        <v>541</v>
      </c>
      <c r="D61" s="203" t="s">
        <v>656</v>
      </c>
      <c r="E61" s="203" t="s">
        <v>539</v>
      </c>
      <c r="F61" s="204">
        <v>42616000</v>
      </c>
      <c r="G61" s="205">
        <v>0</v>
      </c>
      <c r="H61" s="205">
        <v>0</v>
      </c>
      <c r="I61" s="205">
        <v>0</v>
      </c>
      <c r="J61" s="205">
        <v>0</v>
      </c>
      <c r="K61" s="205">
        <v>0</v>
      </c>
      <c r="L61" s="205">
        <v>0</v>
      </c>
      <c r="M61" s="204">
        <v>42616000</v>
      </c>
      <c r="N61" s="205">
        <v>0</v>
      </c>
      <c r="O61" s="204">
        <v>42616000</v>
      </c>
      <c r="P61" s="204">
        <v>42616000</v>
      </c>
      <c r="Q61" s="205">
        <v>0</v>
      </c>
      <c r="R61" s="205">
        <v>0</v>
      </c>
      <c r="S61" s="205">
        <v>0</v>
      </c>
      <c r="T61" s="204">
        <v>42616000</v>
      </c>
      <c r="U61" s="204">
        <v>42616000</v>
      </c>
      <c r="V61" s="205">
        <v>0</v>
      </c>
      <c r="W61" s="204">
        <v>7102666.6600000001</v>
      </c>
      <c r="X61" s="205">
        <v>0</v>
      </c>
      <c r="Y61" s="204">
        <v>7102666.6600000001</v>
      </c>
      <c r="Z61" s="204">
        <v>7102666.6600000001</v>
      </c>
      <c r="AA61" s="204">
        <v>35513333.340000004</v>
      </c>
    </row>
    <row r="62" spans="1:27" ht="16.5" customHeight="1" x14ac:dyDescent="0.25">
      <c r="A62" s="203" t="s">
        <v>786</v>
      </c>
      <c r="B62" s="203" t="s">
        <v>658</v>
      </c>
      <c r="C62" s="203" t="s">
        <v>541</v>
      </c>
      <c r="D62" s="203" t="s">
        <v>659</v>
      </c>
      <c r="E62" s="203" t="s">
        <v>556</v>
      </c>
      <c r="F62" s="204">
        <v>42616000</v>
      </c>
      <c r="G62" s="205">
        <v>0</v>
      </c>
      <c r="H62" s="205">
        <v>0</v>
      </c>
      <c r="I62" s="205">
        <v>0</v>
      </c>
      <c r="J62" s="205">
        <v>0</v>
      </c>
      <c r="K62" s="205">
        <v>0</v>
      </c>
      <c r="L62" s="205">
        <v>0</v>
      </c>
      <c r="M62" s="204">
        <v>42616000</v>
      </c>
      <c r="N62" s="205">
        <v>0</v>
      </c>
      <c r="O62" s="204">
        <v>42616000</v>
      </c>
      <c r="P62" s="204">
        <v>42616000</v>
      </c>
      <c r="Q62" s="205">
        <v>0</v>
      </c>
      <c r="R62" s="205">
        <v>0</v>
      </c>
      <c r="S62" s="205">
        <v>0</v>
      </c>
      <c r="T62" s="204">
        <v>42616000</v>
      </c>
      <c r="U62" s="204">
        <v>42616000</v>
      </c>
      <c r="V62" s="205">
        <v>0</v>
      </c>
      <c r="W62" s="204">
        <v>7102666.6600000001</v>
      </c>
      <c r="X62" s="205">
        <v>0</v>
      </c>
      <c r="Y62" s="204">
        <v>7102666.6600000001</v>
      </c>
      <c r="Z62" s="204">
        <v>7102666.6600000001</v>
      </c>
      <c r="AA62" s="204">
        <v>35513333.340000004</v>
      </c>
    </row>
    <row r="63" spans="1:27" s="198" customFormat="1" ht="16.5" customHeight="1" x14ac:dyDescent="0.25">
      <c r="A63" s="195" t="s">
        <v>539</v>
      </c>
      <c r="B63" s="195" t="s">
        <v>660</v>
      </c>
      <c r="C63" s="195" t="s">
        <v>541</v>
      </c>
      <c r="D63" s="195" t="s">
        <v>661</v>
      </c>
      <c r="E63" s="195" t="s">
        <v>539</v>
      </c>
      <c r="F63" s="196">
        <v>4364918051</v>
      </c>
      <c r="G63" s="197">
        <v>0</v>
      </c>
      <c r="H63" s="197">
        <v>0</v>
      </c>
      <c r="I63" s="197">
        <v>0</v>
      </c>
      <c r="J63" s="197">
        <v>0</v>
      </c>
      <c r="K63" s="197">
        <v>0</v>
      </c>
      <c r="L63" s="197">
        <v>0</v>
      </c>
      <c r="M63" s="196">
        <v>4364918051</v>
      </c>
      <c r="N63" s="197">
        <v>0</v>
      </c>
      <c r="O63" s="196">
        <v>2773571488</v>
      </c>
      <c r="P63" s="196">
        <v>2773571488</v>
      </c>
      <c r="Q63" s="197">
        <v>0</v>
      </c>
      <c r="R63" s="196">
        <v>1591346563</v>
      </c>
      <c r="S63" s="197">
        <v>0</v>
      </c>
      <c r="T63" s="196">
        <v>2513083988</v>
      </c>
      <c r="U63" s="196">
        <v>2513083988</v>
      </c>
      <c r="V63" s="196">
        <v>1851834063</v>
      </c>
      <c r="W63" s="196">
        <v>51325664</v>
      </c>
      <c r="X63" s="197">
        <v>0</v>
      </c>
      <c r="Y63" s="196">
        <v>49308998</v>
      </c>
      <c r="Z63" s="196">
        <v>49308998</v>
      </c>
      <c r="AA63" s="196">
        <v>2463774990</v>
      </c>
    </row>
    <row r="64" spans="1:27" ht="16.5" hidden="1" customHeight="1" x14ac:dyDescent="0.25">
      <c r="A64" s="203" t="s">
        <v>539</v>
      </c>
      <c r="B64" s="203" t="s">
        <v>662</v>
      </c>
      <c r="C64" s="203" t="s">
        <v>541</v>
      </c>
      <c r="D64" s="203" t="s">
        <v>663</v>
      </c>
      <c r="E64" s="203" t="s">
        <v>539</v>
      </c>
      <c r="F64" s="204">
        <v>4364918051</v>
      </c>
      <c r="G64" s="205">
        <v>0</v>
      </c>
      <c r="H64" s="205">
        <v>0</v>
      </c>
      <c r="I64" s="205">
        <v>0</v>
      </c>
      <c r="J64" s="205">
        <v>0</v>
      </c>
      <c r="K64" s="205">
        <v>0</v>
      </c>
      <c r="L64" s="205">
        <v>0</v>
      </c>
      <c r="M64" s="204">
        <v>4364918051</v>
      </c>
      <c r="N64" s="205">
        <v>0</v>
      </c>
      <c r="O64" s="204">
        <v>2773571488</v>
      </c>
      <c r="P64" s="204">
        <v>2773571488</v>
      </c>
      <c r="Q64" s="205">
        <v>0</v>
      </c>
      <c r="R64" s="204">
        <v>1591346563</v>
      </c>
      <c r="S64" s="205">
        <v>0</v>
      </c>
      <c r="T64" s="204">
        <v>2513083988</v>
      </c>
      <c r="U64" s="204">
        <v>2513083988</v>
      </c>
      <c r="V64" s="204">
        <v>1851834063</v>
      </c>
      <c r="W64" s="204">
        <v>51325664</v>
      </c>
      <c r="X64" s="205">
        <v>0</v>
      </c>
      <c r="Y64" s="204">
        <v>49308998</v>
      </c>
      <c r="Z64" s="204">
        <v>49308998</v>
      </c>
      <c r="AA64" s="204">
        <v>2463774990</v>
      </c>
    </row>
    <row r="65" spans="1:27" ht="16.5" hidden="1" customHeight="1" x14ac:dyDescent="0.25">
      <c r="A65" s="203" t="s">
        <v>539</v>
      </c>
      <c r="B65" s="203" t="s">
        <v>675</v>
      </c>
      <c r="C65" s="203" t="s">
        <v>541</v>
      </c>
      <c r="D65" s="203" t="s">
        <v>630</v>
      </c>
      <c r="E65" s="203" t="s">
        <v>539</v>
      </c>
      <c r="F65" s="204">
        <v>4364918051</v>
      </c>
      <c r="G65" s="205">
        <v>0</v>
      </c>
      <c r="H65" s="205">
        <v>0</v>
      </c>
      <c r="I65" s="205">
        <v>0</v>
      </c>
      <c r="J65" s="205">
        <v>0</v>
      </c>
      <c r="K65" s="205">
        <v>0</v>
      </c>
      <c r="L65" s="205">
        <v>0</v>
      </c>
      <c r="M65" s="204">
        <v>4364918051</v>
      </c>
      <c r="N65" s="205">
        <v>0</v>
      </c>
      <c r="O65" s="204">
        <v>2773571488</v>
      </c>
      <c r="P65" s="204">
        <v>2773571488</v>
      </c>
      <c r="Q65" s="205">
        <v>0</v>
      </c>
      <c r="R65" s="204">
        <v>1591346563</v>
      </c>
      <c r="S65" s="205">
        <v>0</v>
      </c>
      <c r="T65" s="204">
        <v>2513083988</v>
      </c>
      <c r="U65" s="204">
        <v>2513083988</v>
      </c>
      <c r="V65" s="204">
        <v>1851834063</v>
      </c>
      <c r="W65" s="204">
        <v>51325664</v>
      </c>
      <c r="X65" s="205">
        <v>0</v>
      </c>
      <c r="Y65" s="204">
        <v>49308998</v>
      </c>
      <c r="Z65" s="204">
        <v>49308998</v>
      </c>
      <c r="AA65" s="204">
        <v>2463774990</v>
      </c>
    </row>
    <row r="66" spans="1:27" ht="16.5" hidden="1" customHeight="1" x14ac:dyDescent="0.25">
      <c r="A66" s="203" t="s">
        <v>539</v>
      </c>
      <c r="B66" s="203" t="s">
        <v>676</v>
      </c>
      <c r="C66" s="203" t="s">
        <v>541</v>
      </c>
      <c r="D66" s="203" t="s">
        <v>633</v>
      </c>
      <c r="E66" s="203" t="s">
        <v>539</v>
      </c>
      <c r="F66" s="204">
        <v>50000000</v>
      </c>
      <c r="G66" s="205">
        <v>0</v>
      </c>
      <c r="H66" s="205">
        <v>0</v>
      </c>
      <c r="I66" s="205">
        <v>0</v>
      </c>
      <c r="J66" s="205">
        <v>0</v>
      </c>
      <c r="K66" s="205">
        <v>0</v>
      </c>
      <c r="L66" s="205">
        <v>0</v>
      </c>
      <c r="M66" s="204">
        <v>50000000</v>
      </c>
      <c r="N66" s="205">
        <v>0</v>
      </c>
      <c r="O66" s="205">
        <v>0</v>
      </c>
      <c r="P66" s="205">
        <v>0</v>
      </c>
      <c r="Q66" s="205">
        <v>0</v>
      </c>
      <c r="R66" s="204">
        <v>50000000</v>
      </c>
      <c r="S66" s="205">
        <v>0</v>
      </c>
      <c r="T66" s="205">
        <v>0</v>
      </c>
      <c r="U66" s="205">
        <v>0</v>
      </c>
      <c r="V66" s="204">
        <v>50000000</v>
      </c>
      <c r="W66" s="205">
        <v>0</v>
      </c>
      <c r="X66" s="205">
        <v>0</v>
      </c>
      <c r="Y66" s="205">
        <v>0</v>
      </c>
      <c r="Z66" s="205">
        <v>0</v>
      </c>
      <c r="AA66" s="205">
        <v>0</v>
      </c>
    </row>
    <row r="67" spans="1:27" s="209" customFormat="1" ht="36" customHeight="1" x14ac:dyDescent="0.25">
      <c r="A67" s="206" t="s">
        <v>787</v>
      </c>
      <c r="B67" s="206" t="s">
        <v>678</v>
      </c>
      <c r="C67" s="206" t="s">
        <v>541</v>
      </c>
      <c r="D67" s="206" t="s">
        <v>679</v>
      </c>
      <c r="E67" s="206" t="s">
        <v>556</v>
      </c>
      <c r="F67" s="207">
        <v>50000000</v>
      </c>
      <c r="G67" s="208">
        <v>0</v>
      </c>
      <c r="H67" s="208">
        <v>0</v>
      </c>
      <c r="I67" s="208">
        <v>0</v>
      </c>
      <c r="J67" s="208">
        <v>0</v>
      </c>
      <c r="K67" s="208">
        <v>0</v>
      </c>
      <c r="L67" s="208">
        <v>0</v>
      </c>
      <c r="M67" s="207">
        <v>50000000</v>
      </c>
      <c r="N67" s="208">
        <v>0</v>
      </c>
      <c r="O67" s="208">
        <v>0</v>
      </c>
      <c r="P67" s="208">
        <v>0</v>
      </c>
      <c r="Q67" s="208">
        <v>0</v>
      </c>
      <c r="R67" s="207">
        <v>50000000</v>
      </c>
      <c r="S67" s="208">
        <v>0</v>
      </c>
      <c r="T67" s="208">
        <v>0</v>
      </c>
      <c r="U67" s="208">
        <v>0</v>
      </c>
      <c r="V67" s="207">
        <v>50000000</v>
      </c>
      <c r="W67" s="208">
        <v>0</v>
      </c>
      <c r="X67" s="208">
        <v>0</v>
      </c>
      <c r="Y67" s="208">
        <v>0</v>
      </c>
      <c r="Z67" s="208">
        <v>0</v>
      </c>
      <c r="AA67" s="208">
        <v>0</v>
      </c>
    </row>
    <row r="68" spans="1:27" ht="22.5" hidden="1" x14ac:dyDescent="0.25">
      <c r="A68" s="203" t="s">
        <v>539</v>
      </c>
      <c r="B68" s="203" t="s">
        <v>683</v>
      </c>
      <c r="C68" s="203" t="s">
        <v>541</v>
      </c>
      <c r="D68" s="203" t="s">
        <v>636</v>
      </c>
      <c r="E68" s="203" t="s">
        <v>539</v>
      </c>
      <c r="F68" s="204">
        <v>389441514</v>
      </c>
      <c r="G68" s="205">
        <v>0</v>
      </c>
      <c r="H68" s="205">
        <v>0</v>
      </c>
      <c r="I68" s="205">
        <v>0</v>
      </c>
      <c r="J68" s="205">
        <v>0</v>
      </c>
      <c r="K68" s="205">
        <v>0</v>
      </c>
      <c r="L68" s="205">
        <v>0</v>
      </c>
      <c r="M68" s="204">
        <v>389441514</v>
      </c>
      <c r="N68" s="205">
        <v>0</v>
      </c>
      <c r="O68" s="204">
        <v>309515500</v>
      </c>
      <c r="P68" s="204">
        <v>309515500</v>
      </c>
      <c r="Q68" s="205">
        <v>0</v>
      </c>
      <c r="R68" s="204">
        <v>79926014</v>
      </c>
      <c r="S68" s="205">
        <v>0</v>
      </c>
      <c r="T68" s="204">
        <v>309515500</v>
      </c>
      <c r="U68" s="204">
        <v>309515500</v>
      </c>
      <c r="V68" s="204">
        <v>79926014</v>
      </c>
      <c r="W68" s="205">
        <v>0</v>
      </c>
      <c r="X68" s="205">
        <v>0</v>
      </c>
      <c r="Y68" s="205">
        <v>0</v>
      </c>
      <c r="Z68" s="205">
        <v>0</v>
      </c>
      <c r="AA68" s="204">
        <v>309515500</v>
      </c>
    </row>
    <row r="69" spans="1:27" s="209" customFormat="1" ht="25.5" customHeight="1" x14ac:dyDescent="0.25">
      <c r="A69" s="206" t="s">
        <v>788</v>
      </c>
      <c r="B69" s="206" t="s">
        <v>688</v>
      </c>
      <c r="C69" s="206" t="s">
        <v>541</v>
      </c>
      <c r="D69" s="206" t="s">
        <v>689</v>
      </c>
      <c r="E69" s="206" t="s">
        <v>556</v>
      </c>
      <c r="F69" s="207">
        <v>219441514</v>
      </c>
      <c r="G69" s="208">
        <v>0</v>
      </c>
      <c r="H69" s="208">
        <v>0</v>
      </c>
      <c r="I69" s="208">
        <v>0</v>
      </c>
      <c r="J69" s="208">
        <v>0</v>
      </c>
      <c r="K69" s="208">
        <v>0</v>
      </c>
      <c r="L69" s="208">
        <v>0</v>
      </c>
      <c r="M69" s="207">
        <v>219441514</v>
      </c>
      <c r="N69" s="208">
        <v>0</v>
      </c>
      <c r="O69" s="207">
        <v>139515500</v>
      </c>
      <c r="P69" s="207">
        <v>139515500</v>
      </c>
      <c r="Q69" s="208">
        <v>0</v>
      </c>
      <c r="R69" s="207">
        <v>79926014</v>
      </c>
      <c r="S69" s="208">
        <v>0</v>
      </c>
      <c r="T69" s="207">
        <v>139515500</v>
      </c>
      <c r="U69" s="207">
        <v>139515500</v>
      </c>
      <c r="V69" s="207">
        <v>79926014</v>
      </c>
      <c r="W69" s="208">
        <v>0</v>
      </c>
      <c r="X69" s="208">
        <v>0</v>
      </c>
      <c r="Y69" s="208">
        <v>0</v>
      </c>
      <c r="Z69" s="208">
        <v>0</v>
      </c>
      <c r="AA69" s="207">
        <v>139515500</v>
      </c>
    </row>
    <row r="70" spans="1:27" ht="15" hidden="1" customHeight="1" x14ac:dyDescent="0.25">
      <c r="A70" s="203" t="s">
        <v>539</v>
      </c>
      <c r="B70" s="203" t="s">
        <v>698</v>
      </c>
      <c r="C70" s="203" t="s">
        <v>541</v>
      </c>
      <c r="D70" s="203" t="s">
        <v>642</v>
      </c>
      <c r="E70" s="203" t="s">
        <v>539</v>
      </c>
      <c r="F70" s="204">
        <v>3925476537</v>
      </c>
      <c r="G70" s="205">
        <v>0</v>
      </c>
      <c r="H70" s="205">
        <v>0</v>
      </c>
      <c r="I70" s="205">
        <v>0</v>
      </c>
      <c r="J70" s="205">
        <v>0</v>
      </c>
      <c r="K70" s="205">
        <v>0</v>
      </c>
      <c r="L70" s="205">
        <v>0</v>
      </c>
      <c r="M70" s="204">
        <v>3925476537</v>
      </c>
      <c r="N70" s="205">
        <v>0</v>
      </c>
      <c r="O70" s="204">
        <v>2464055988</v>
      </c>
      <c r="P70" s="204">
        <v>2464055988</v>
      </c>
      <c r="Q70" s="205">
        <v>0</v>
      </c>
      <c r="R70" s="204">
        <v>1461420549</v>
      </c>
      <c r="S70" s="205">
        <v>0</v>
      </c>
      <c r="T70" s="204">
        <v>2203568488</v>
      </c>
      <c r="U70" s="204">
        <v>2203568488</v>
      </c>
      <c r="V70" s="204">
        <v>1721908049</v>
      </c>
      <c r="W70" s="204">
        <v>51325664</v>
      </c>
      <c r="X70" s="205">
        <v>0</v>
      </c>
      <c r="Y70" s="204">
        <v>49308998</v>
      </c>
      <c r="Z70" s="204">
        <v>49308998</v>
      </c>
      <c r="AA70" s="204">
        <v>2154259490</v>
      </c>
    </row>
    <row r="71" spans="1:27" s="213" customFormat="1" ht="16.5" customHeight="1" x14ac:dyDescent="0.25">
      <c r="A71" s="210" t="s">
        <v>789</v>
      </c>
      <c r="B71" s="210" t="s">
        <v>700</v>
      </c>
      <c r="C71" s="210" t="s">
        <v>541</v>
      </c>
      <c r="D71" s="210" t="s">
        <v>701</v>
      </c>
      <c r="E71" s="210" t="s">
        <v>610</v>
      </c>
      <c r="F71" s="211">
        <v>4000000</v>
      </c>
      <c r="G71" s="212">
        <v>0</v>
      </c>
      <c r="H71" s="212">
        <v>0</v>
      </c>
      <c r="I71" s="212">
        <v>0</v>
      </c>
      <c r="J71" s="212">
        <v>0</v>
      </c>
      <c r="K71" s="212">
        <v>0</v>
      </c>
      <c r="L71" s="212">
        <v>0</v>
      </c>
      <c r="M71" s="211">
        <v>4000000</v>
      </c>
      <c r="N71" s="212">
        <v>0</v>
      </c>
      <c r="O71" s="212">
        <v>0</v>
      </c>
      <c r="P71" s="212">
        <v>0</v>
      </c>
      <c r="Q71" s="212">
        <v>0</v>
      </c>
      <c r="R71" s="211">
        <v>4000000</v>
      </c>
      <c r="S71" s="212">
        <v>0</v>
      </c>
      <c r="T71" s="212">
        <v>0</v>
      </c>
      <c r="U71" s="212">
        <v>0</v>
      </c>
      <c r="V71" s="211">
        <v>4000000</v>
      </c>
      <c r="W71" s="212">
        <v>0</v>
      </c>
      <c r="X71" s="212">
        <v>0</v>
      </c>
      <c r="Y71" s="212">
        <v>0</v>
      </c>
      <c r="Z71" s="212">
        <v>0</v>
      </c>
      <c r="AA71" s="212">
        <v>0</v>
      </c>
    </row>
    <row r="72" spans="1:27" s="213" customFormat="1" ht="16.5" customHeight="1" x14ac:dyDescent="0.25">
      <c r="A72" s="210" t="s">
        <v>790</v>
      </c>
      <c r="B72" s="210" t="s">
        <v>703</v>
      </c>
      <c r="C72" s="210" t="s">
        <v>541</v>
      </c>
      <c r="D72" s="210" t="s">
        <v>701</v>
      </c>
      <c r="E72" s="210" t="s">
        <v>556</v>
      </c>
      <c r="F72" s="211">
        <v>1230360000</v>
      </c>
      <c r="G72" s="212">
        <v>0</v>
      </c>
      <c r="H72" s="212">
        <v>0</v>
      </c>
      <c r="I72" s="212">
        <v>0</v>
      </c>
      <c r="J72" s="212">
        <v>0</v>
      </c>
      <c r="K72" s="212">
        <v>0</v>
      </c>
      <c r="L72" s="212">
        <v>0</v>
      </c>
      <c r="M72" s="211">
        <v>1230360000</v>
      </c>
      <c r="N72" s="212">
        <v>0</v>
      </c>
      <c r="O72" s="211">
        <v>171800000</v>
      </c>
      <c r="P72" s="211">
        <v>171800000</v>
      </c>
      <c r="Q72" s="212">
        <v>0</v>
      </c>
      <c r="R72" s="211">
        <v>1058560000</v>
      </c>
      <c r="S72" s="212">
        <v>0</v>
      </c>
      <c r="T72" s="211">
        <v>171800000</v>
      </c>
      <c r="U72" s="211">
        <v>171800000</v>
      </c>
      <c r="V72" s="211">
        <v>1058560000</v>
      </c>
      <c r="W72" s="212">
        <v>0</v>
      </c>
      <c r="X72" s="212">
        <v>0</v>
      </c>
      <c r="Y72" s="212">
        <v>0</v>
      </c>
      <c r="Z72" s="212">
        <v>0</v>
      </c>
      <c r="AA72" s="211">
        <v>171800000</v>
      </c>
    </row>
    <row r="73" spans="1:27" s="209" customFormat="1" ht="16.5" customHeight="1" x14ac:dyDescent="0.25">
      <c r="A73" s="206" t="s">
        <v>791</v>
      </c>
      <c r="B73" s="206" t="s">
        <v>705</v>
      </c>
      <c r="C73" s="206" t="s">
        <v>541</v>
      </c>
      <c r="D73" s="206" t="s">
        <v>706</v>
      </c>
      <c r="E73" s="206" t="s">
        <v>556</v>
      </c>
      <c r="F73" s="207">
        <v>1384990486</v>
      </c>
      <c r="G73" s="208">
        <v>0</v>
      </c>
      <c r="H73" s="208">
        <v>0</v>
      </c>
      <c r="I73" s="208">
        <v>0</v>
      </c>
      <c r="J73" s="208">
        <v>0</v>
      </c>
      <c r="K73" s="208">
        <v>0</v>
      </c>
      <c r="L73" s="208">
        <v>0</v>
      </c>
      <c r="M73" s="207">
        <v>1384990486</v>
      </c>
      <c r="N73" s="208">
        <v>0</v>
      </c>
      <c r="O73" s="207">
        <v>1149557386</v>
      </c>
      <c r="P73" s="207">
        <v>1149557386</v>
      </c>
      <c r="Q73" s="208">
        <v>0</v>
      </c>
      <c r="R73" s="207">
        <v>235433100</v>
      </c>
      <c r="S73" s="208">
        <v>0</v>
      </c>
      <c r="T73" s="207">
        <v>889069886</v>
      </c>
      <c r="U73" s="207">
        <v>889069886</v>
      </c>
      <c r="V73" s="207">
        <v>495920600</v>
      </c>
      <c r="W73" s="207">
        <v>7657707</v>
      </c>
      <c r="X73" s="208">
        <v>0</v>
      </c>
      <c r="Y73" s="207">
        <v>5641041</v>
      </c>
      <c r="Z73" s="207">
        <v>5641041</v>
      </c>
      <c r="AA73" s="207">
        <v>883428845</v>
      </c>
    </row>
    <row r="74" spans="1:27" s="217" customFormat="1" ht="16.5" customHeight="1" x14ac:dyDescent="0.25">
      <c r="A74" s="214" t="s">
        <v>792</v>
      </c>
      <c r="B74" s="214" t="s">
        <v>87</v>
      </c>
      <c r="C74" s="214" t="s">
        <v>541</v>
      </c>
      <c r="D74" s="214" t="s">
        <v>708</v>
      </c>
      <c r="E74" s="214" t="s">
        <v>556</v>
      </c>
      <c r="F74" s="215">
        <v>238770000</v>
      </c>
      <c r="G74" s="216">
        <v>0</v>
      </c>
      <c r="H74" s="216">
        <v>0</v>
      </c>
      <c r="I74" s="216">
        <v>0</v>
      </c>
      <c r="J74" s="216">
        <v>0</v>
      </c>
      <c r="K74" s="216">
        <v>0</v>
      </c>
      <c r="L74" s="216">
        <v>0</v>
      </c>
      <c r="M74" s="215">
        <v>238770000</v>
      </c>
      <c r="N74" s="216">
        <v>0</v>
      </c>
      <c r="O74" s="215">
        <v>219610000</v>
      </c>
      <c r="P74" s="215">
        <v>219610000</v>
      </c>
      <c r="Q74" s="216">
        <v>0</v>
      </c>
      <c r="R74" s="215">
        <v>19160000</v>
      </c>
      <c r="S74" s="216">
        <v>0</v>
      </c>
      <c r="T74" s="215">
        <v>219610000</v>
      </c>
      <c r="U74" s="215">
        <v>219610000</v>
      </c>
      <c r="V74" s="215">
        <v>19160000</v>
      </c>
      <c r="W74" s="215">
        <v>9182958</v>
      </c>
      <c r="X74" s="216">
        <v>0</v>
      </c>
      <c r="Y74" s="215">
        <v>9182958</v>
      </c>
      <c r="Z74" s="215">
        <v>9182958</v>
      </c>
      <c r="AA74" s="215">
        <v>210427042</v>
      </c>
    </row>
    <row r="75" spans="1:27" s="221" customFormat="1" ht="16.5" customHeight="1" x14ac:dyDescent="0.25">
      <c r="A75" s="218" t="s">
        <v>793</v>
      </c>
      <c r="B75" s="218" t="s">
        <v>710</v>
      </c>
      <c r="C75" s="218" t="s">
        <v>541</v>
      </c>
      <c r="D75" s="218" t="s">
        <v>711</v>
      </c>
      <c r="E75" s="218" t="s">
        <v>556</v>
      </c>
      <c r="F75" s="219">
        <v>525900000</v>
      </c>
      <c r="G75" s="220">
        <v>0</v>
      </c>
      <c r="H75" s="220">
        <v>0</v>
      </c>
      <c r="I75" s="220">
        <v>0</v>
      </c>
      <c r="J75" s="220">
        <v>0</v>
      </c>
      <c r="K75" s="220">
        <v>0</v>
      </c>
      <c r="L75" s="220">
        <v>0</v>
      </c>
      <c r="M75" s="219">
        <v>525900000</v>
      </c>
      <c r="N75" s="220">
        <v>0</v>
      </c>
      <c r="O75" s="219">
        <v>393825000</v>
      </c>
      <c r="P75" s="219">
        <v>393825000</v>
      </c>
      <c r="Q75" s="220">
        <v>0</v>
      </c>
      <c r="R75" s="219">
        <v>132075000</v>
      </c>
      <c r="S75" s="220">
        <v>0</v>
      </c>
      <c r="T75" s="219">
        <v>393825000</v>
      </c>
      <c r="U75" s="219">
        <v>393825000</v>
      </c>
      <c r="V75" s="219">
        <v>132075000</v>
      </c>
      <c r="W75" s="219">
        <v>4870000</v>
      </c>
      <c r="X75" s="220">
        <v>0</v>
      </c>
      <c r="Y75" s="219">
        <v>4870000</v>
      </c>
      <c r="Z75" s="219">
        <v>4870000</v>
      </c>
      <c r="AA75" s="219">
        <v>388955000</v>
      </c>
    </row>
    <row r="76" spans="1:27" s="225" customFormat="1" ht="24" customHeight="1" x14ac:dyDescent="0.25">
      <c r="A76" s="222" t="s">
        <v>794</v>
      </c>
      <c r="B76" s="222" t="s">
        <v>99</v>
      </c>
      <c r="C76" s="222" t="s">
        <v>541</v>
      </c>
      <c r="D76" s="222" t="s">
        <v>713</v>
      </c>
      <c r="E76" s="222" t="s">
        <v>556</v>
      </c>
      <c r="F76" s="223">
        <v>541456051</v>
      </c>
      <c r="G76" s="224">
        <v>0</v>
      </c>
      <c r="H76" s="224">
        <v>0</v>
      </c>
      <c r="I76" s="224">
        <v>0</v>
      </c>
      <c r="J76" s="224">
        <v>0</v>
      </c>
      <c r="K76" s="224">
        <v>0</v>
      </c>
      <c r="L76" s="224">
        <v>0</v>
      </c>
      <c r="M76" s="223">
        <v>541456051</v>
      </c>
      <c r="N76" s="224">
        <v>0</v>
      </c>
      <c r="O76" s="223">
        <v>529263602</v>
      </c>
      <c r="P76" s="223">
        <v>529263602</v>
      </c>
      <c r="Q76" s="224">
        <v>0</v>
      </c>
      <c r="R76" s="223">
        <v>12192449</v>
      </c>
      <c r="S76" s="224">
        <v>0</v>
      </c>
      <c r="T76" s="223">
        <v>529263602</v>
      </c>
      <c r="U76" s="223">
        <v>529263602</v>
      </c>
      <c r="V76" s="223">
        <v>12192449</v>
      </c>
      <c r="W76" s="223">
        <v>29614999</v>
      </c>
      <c r="X76" s="224">
        <v>0</v>
      </c>
      <c r="Y76" s="223">
        <v>29614999</v>
      </c>
      <c r="Z76" s="223">
        <v>29614999</v>
      </c>
      <c r="AA76" s="223">
        <v>499648603</v>
      </c>
    </row>
    <row r="77" spans="1:27" s="221" customFormat="1" ht="25.5" customHeight="1" x14ac:dyDescent="0.25">
      <c r="A77" s="218" t="s">
        <v>795</v>
      </c>
      <c r="B77" s="218" t="s">
        <v>685</v>
      </c>
      <c r="C77" s="218" t="s">
        <v>541</v>
      </c>
      <c r="D77" s="218" t="s">
        <v>686</v>
      </c>
      <c r="E77" s="218" t="s">
        <v>556</v>
      </c>
      <c r="F77" s="219">
        <v>170000000</v>
      </c>
      <c r="G77" s="220">
        <v>0</v>
      </c>
      <c r="H77" s="220">
        <v>0</v>
      </c>
      <c r="I77" s="220">
        <v>0</v>
      </c>
      <c r="J77" s="220">
        <v>0</v>
      </c>
      <c r="K77" s="220">
        <v>0</v>
      </c>
      <c r="L77" s="220">
        <v>0</v>
      </c>
      <c r="M77" s="226">
        <v>170000000</v>
      </c>
      <c r="N77" s="227">
        <v>0</v>
      </c>
      <c r="O77" s="226">
        <v>170000000</v>
      </c>
      <c r="P77" s="226">
        <v>170000000</v>
      </c>
      <c r="Q77" s="227">
        <v>0</v>
      </c>
      <c r="R77" s="227">
        <v>0</v>
      </c>
      <c r="S77" s="227">
        <v>0</v>
      </c>
      <c r="T77" s="226">
        <v>170000000</v>
      </c>
      <c r="U77" s="226">
        <v>170000000</v>
      </c>
      <c r="V77" s="227">
        <v>0</v>
      </c>
      <c r="W77" s="227">
        <v>0</v>
      </c>
      <c r="X77" s="220">
        <v>0</v>
      </c>
      <c r="Y77" s="220">
        <v>0</v>
      </c>
      <c r="Z77" s="220">
        <v>0</v>
      </c>
      <c r="AA77" s="219">
        <v>170000000</v>
      </c>
    </row>
    <row r="78" spans="1:27" x14ac:dyDescent="0.25">
      <c r="M78" s="228"/>
      <c r="N78" s="228"/>
      <c r="O78" s="228"/>
      <c r="P78" s="228"/>
      <c r="Q78" s="228"/>
      <c r="R78" s="228"/>
      <c r="S78" s="228"/>
      <c r="T78" s="228"/>
      <c r="U78" s="228"/>
      <c r="V78" s="228"/>
      <c r="W78" s="228"/>
    </row>
    <row r="79" spans="1:27" x14ac:dyDescent="0.25">
      <c r="M79" s="228"/>
      <c r="N79" s="228"/>
      <c r="O79" s="228"/>
      <c r="P79" s="228"/>
      <c r="Q79" s="228"/>
      <c r="R79" s="228"/>
      <c r="S79" s="228"/>
      <c r="T79" s="228"/>
      <c r="U79" s="228"/>
      <c r="V79" s="228"/>
      <c r="W79" s="228"/>
    </row>
    <row r="80" spans="1:27" x14ac:dyDescent="0.25">
      <c r="B80" s="166" t="s">
        <v>442</v>
      </c>
      <c r="C80" s="166"/>
      <c r="D80" s="166"/>
      <c r="E80" s="166"/>
      <c r="F80" s="166"/>
      <c r="G80" s="166"/>
      <c r="H80" s="166"/>
      <c r="I80" s="166"/>
      <c r="J80" s="166"/>
      <c r="K80" s="167">
        <f>+K62+K70+K72+K75</f>
        <v>0</v>
      </c>
      <c r="L80" s="167">
        <f>+L63+L70+L72+L75</f>
        <v>0</v>
      </c>
      <c r="M80" s="168">
        <f>M67+M69+M73</f>
        <v>1654432000</v>
      </c>
      <c r="N80" s="168"/>
      <c r="O80" s="168"/>
      <c r="P80" s="168">
        <f>P67+P69+P73</f>
        <v>1289072886</v>
      </c>
      <c r="Q80" s="168"/>
      <c r="R80" s="168"/>
      <c r="S80" s="168"/>
      <c r="T80" s="168"/>
      <c r="U80" s="168">
        <f>U67+U69+U73</f>
        <v>1028585386</v>
      </c>
      <c r="V80" s="168">
        <f>+V63+V70+V72+V75</f>
        <v>4764377112</v>
      </c>
      <c r="W80" s="168">
        <f>W67+W69+W73</f>
        <v>7657707</v>
      </c>
      <c r="X80" s="168">
        <f>+X62+X70+X72+X75</f>
        <v>0</v>
      </c>
      <c r="Y80" s="169"/>
      <c r="Z80" s="168">
        <f>Z54+Z57+Z61+Z68</f>
        <v>7102666.6600000001</v>
      </c>
    </row>
    <row r="81" spans="2:26" x14ac:dyDescent="0.25">
      <c r="B81" s="170" t="s">
        <v>730</v>
      </c>
      <c r="C81" s="170"/>
      <c r="D81" s="170"/>
      <c r="E81" s="170"/>
      <c r="F81" s="170"/>
      <c r="G81" s="170"/>
      <c r="H81" s="170"/>
      <c r="I81" s="170"/>
      <c r="J81" s="170"/>
      <c r="K81" s="171">
        <f>+K68+K73+K74</f>
        <v>0</v>
      </c>
      <c r="L81" s="171">
        <f>+L68+L73+L74</f>
        <v>0</v>
      </c>
      <c r="M81" s="172">
        <f>M71+M72</f>
        <v>1234360000</v>
      </c>
      <c r="N81" s="172"/>
      <c r="O81" s="172"/>
      <c r="P81" s="172">
        <f>P71+P72</f>
        <v>171800000</v>
      </c>
      <c r="Q81" s="172"/>
      <c r="R81" s="172"/>
      <c r="S81" s="172"/>
      <c r="T81" s="172"/>
      <c r="U81" s="172">
        <f>U71+U72</f>
        <v>171800000</v>
      </c>
      <c r="V81" s="172">
        <f>+V68+V73+V74</f>
        <v>595006614</v>
      </c>
      <c r="W81" s="172">
        <f>W71+W72</f>
        <v>0</v>
      </c>
      <c r="X81" s="172">
        <f>+X68+X73+X74</f>
        <v>0</v>
      </c>
      <c r="Y81" s="173"/>
      <c r="Z81" s="172">
        <f>Z66+Z67+Z77</f>
        <v>0</v>
      </c>
    </row>
    <row r="82" spans="2:26" x14ac:dyDescent="0.25">
      <c r="B82" s="174" t="s">
        <v>731</v>
      </c>
      <c r="C82" s="174"/>
      <c r="D82" s="174"/>
      <c r="E82" s="174"/>
      <c r="F82" s="174"/>
      <c r="G82" s="174"/>
      <c r="H82" s="174"/>
      <c r="I82" s="174"/>
      <c r="J82" s="174"/>
      <c r="K82" s="175">
        <f>+K61+K71+K77</f>
        <v>0</v>
      </c>
      <c r="L82" s="175">
        <f>+L62+L71+L77</f>
        <v>0</v>
      </c>
      <c r="M82" s="176">
        <f>M75+M77</f>
        <v>695900000</v>
      </c>
      <c r="N82" s="176"/>
      <c r="O82" s="176"/>
      <c r="P82" s="176">
        <f>P75+P77</f>
        <v>563825000</v>
      </c>
      <c r="Q82" s="176"/>
      <c r="R82" s="176"/>
      <c r="S82" s="176"/>
      <c r="T82" s="176"/>
      <c r="U82" s="176">
        <f>U75+U77</f>
        <v>563825000</v>
      </c>
      <c r="V82" s="176">
        <f>+V62+V71+V77</f>
        <v>4000000</v>
      </c>
      <c r="W82" s="176">
        <f>W75+W77</f>
        <v>4870000</v>
      </c>
      <c r="X82" s="176">
        <f>+X61+X71+X77</f>
        <v>0</v>
      </c>
      <c r="Y82" s="177"/>
      <c r="Z82" s="176">
        <f>Z53+Z60+Z70</f>
        <v>79508330.659999996</v>
      </c>
    </row>
    <row r="83" spans="2:26" x14ac:dyDescent="0.25">
      <c r="B83" s="178" t="s">
        <v>732</v>
      </c>
      <c r="C83" s="178"/>
      <c r="D83" s="178"/>
      <c r="E83" s="178"/>
      <c r="F83" s="178"/>
      <c r="G83" s="178"/>
      <c r="H83" s="178"/>
      <c r="I83" s="178"/>
      <c r="J83" s="178"/>
      <c r="K83" s="179">
        <f>+K76</f>
        <v>0</v>
      </c>
      <c r="L83" s="179">
        <f>+L76</f>
        <v>0</v>
      </c>
      <c r="M83" s="180">
        <f>M74</f>
        <v>238770000</v>
      </c>
      <c r="N83" s="180"/>
      <c r="O83" s="180"/>
      <c r="P83" s="180">
        <f>P74</f>
        <v>219610000</v>
      </c>
      <c r="Q83" s="180"/>
      <c r="R83" s="180"/>
      <c r="S83" s="180"/>
      <c r="T83" s="180"/>
      <c r="U83" s="180">
        <f>U74</f>
        <v>219610000</v>
      </c>
      <c r="V83" s="180">
        <f>+V76</f>
        <v>12192449</v>
      </c>
      <c r="W83" s="180">
        <f>W74</f>
        <v>9182958</v>
      </c>
      <c r="X83" s="180">
        <f>+X76</f>
        <v>0</v>
      </c>
      <c r="Y83" s="181"/>
      <c r="Z83" s="180">
        <f>Z69</f>
        <v>0</v>
      </c>
    </row>
    <row r="84" spans="2:26" x14ac:dyDescent="0.25">
      <c r="B84" s="182" t="s">
        <v>733</v>
      </c>
      <c r="C84" s="182"/>
      <c r="D84" s="182"/>
      <c r="E84" s="182"/>
      <c r="F84" s="182"/>
      <c r="G84" s="182"/>
      <c r="H84" s="182"/>
      <c r="I84" s="182"/>
      <c r="J84" s="182"/>
      <c r="K84" s="183">
        <f>+K78</f>
        <v>0</v>
      </c>
      <c r="L84" s="183">
        <f>+L78</f>
        <v>0</v>
      </c>
      <c r="M84" s="184">
        <f>M76</f>
        <v>541456051</v>
      </c>
      <c r="N84" s="184"/>
      <c r="O84" s="184"/>
      <c r="P84" s="184">
        <f>P76</f>
        <v>529263602</v>
      </c>
      <c r="Q84" s="184"/>
      <c r="R84" s="184"/>
      <c r="S84" s="184"/>
      <c r="T84" s="184"/>
      <c r="U84" s="184">
        <f>U76</f>
        <v>529263602</v>
      </c>
      <c r="V84" s="184">
        <f>+V78</f>
        <v>0</v>
      </c>
      <c r="W84" s="184">
        <f>W76</f>
        <v>29614999</v>
      </c>
      <c r="X84" s="184">
        <f>+X78</f>
        <v>0</v>
      </c>
      <c r="Y84" s="185"/>
      <c r="Z84" s="184">
        <f>Z71</f>
        <v>0</v>
      </c>
    </row>
    <row r="85" spans="2:26" x14ac:dyDescent="0.25">
      <c r="B85" s="186"/>
      <c r="C85" s="186"/>
      <c r="D85" s="186"/>
      <c r="E85" s="186"/>
      <c r="F85" s="186"/>
      <c r="G85" s="186"/>
      <c r="H85" s="186"/>
      <c r="I85" s="186"/>
      <c r="J85" s="186"/>
      <c r="K85" s="186"/>
      <c r="L85" s="186"/>
      <c r="M85" s="186"/>
      <c r="N85" s="186"/>
      <c r="O85" s="186"/>
      <c r="P85" s="186"/>
      <c r="Q85" s="186"/>
      <c r="R85" s="186"/>
      <c r="S85" s="186"/>
      <c r="T85" s="186"/>
      <c r="U85" s="187"/>
      <c r="V85" s="186"/>
      <c r="W85" s="186"/>
      <c r="X85" s="186"/>
      <c r="Y85" s="188"/>
      <c r="Z85" s="188"/>
    </row>
    <row r="86" spans="2:26" x14ac:dyDescent="0.25">
      <c r="B86" s="186"/>
      <c r="C86" s="186"/>
      <c r="D86" s="186"/>
      <c r="E86" s="186"/>
      <c r="F86" s="186"/>
      <c r="G86" s="186"/>
      <c r="H86" s="186"/>
      <c r="I86" s="186"/>
      <c r="J86" s="186"/>
      <c r="K86" s="189">
        <f>SUM(K80:K84)</f>
        <v>0</v>
      </c>
      <c r="L86" s="189">
        <f t="shared" ref="L86:R86" si="0">SUM(L80:L84)</f>
        <v>0</v>
      </c>
      <c r="M86" s="189">
        <f>SUM(M80:M84)</f>
        <v>4364918051</v>
      </c>
      <c r="N86" s="189">
        <f t="shared" si="0"/>
        <v>0</v>
      </c>
      <c r="O86" s="189">
        <f t="shared" si="0"/>
        <v>0</v>
      </c>
      <c r="P86" s="189">
        <f>SUM(P80:P84)</f>
        <v>2773571488</v>
      </c>
      <c r="Q86" s="189">
        <f t="shared" si="0"/>
        <v>0</v>
      </c>
      <c r="R86" s="189">
        <f t="shared" si="0"/>
        <v>0</v>
      </c>
      <c r="S86" s="189">
        <f>SUM(S80:S84)</f>
        <v>0</v>
      </c>
      <c r="T86" s="186"/>
      <c r="U86" s="189">
        <f>U80+U81+U82+U83+U84</f>
        <v>2513083988</v>
      </c>
      <c r="V86" s="186"/>
      <c r="W86" s="189">
        <f>W80+W81+W82+W83+W84</f>
        <v>51325664</v>
      </c>
      <c r="X86" s="190" t="e">
        <f>S86/K86</f>
        <v>#DIV/0!</v>
      </c>
      <c r="Y86" s="188"/>
      <c r="Z86" s="191">
        <f>U86/M86</f>
        <v>0.57574597246430637</v>
      </c>
    </row>
  </sheetData>
  <mergeCells count="6">
    <mergeCell ref="A6:AA6"/>
    <mergeCell ref="A1:AA1"/>
    <mergeCell ref="A2:AA2"/>
    <mergeCell ref="A3:AA3"/>
    <mergeCell ref="A4:AA4"/>
    <mergeCell ref="A5:AA5"/>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F6182-0D0F-46BC-8331-764E0AEE3D86}">
  <dimension ref="A1:AC86"/>
  <sheetViews>
    <sheetView showGridLines="0" topLeftCell="A67" workbookViewId="0">
      <selection activeCell="D87" sqref="D87"/>
    </sheetView>
  </sheetViews>
  <sheetFormatPr baseColWidth="10" defaultRowHeight="15" x14ac:dyDescent="0.25"/>
  <cols>
    <col min="1" max="1" width="15.140625" style="229" bestFit="1" customWidth="1"/>
    <col min="2" max="2" width="23.5703125" style="229" bestFit="1" customWidth="1"/>
    <col min="3" max="3" width="14.7109375" style="229" bestFit="1" customWidth="1"/>
    <col min="4" max="4" width="45.7109375" style="229" bestFit="1" customWidth="1"/>
    <col min="5" max="5" width="8.85546875" style="229" hidden="1" customWidth="1"/>
    <col min="6" max="6" width="16.5703125" style="229" hidden="1" customWidth="1"/>
    <col min="7" max="7" width="8.7109375" style="229" hidden="1" customWidth="1"/>
    <col min="8" max="8" width="13" style="229" hidden="1" customWidth="1"/>
    <col min="9" max="9" width="15" style="229" hidden="1" customWidth="1"/>
    <col min="10" max="10" width="11.140625" style="229" hidden="1" customWidth="1"/>
    <col min="11" max="11" width="7.7109375" style="229" hidden="1" customWidth="1"/>
    <col min="12" max="12" width="13" style="229" hidden="1" customWidth="1"/>
    <col min="13" max="13" width="19.42578125" style="229" bestFit="1" customWidth="1"/>
    <col min="14" max="14" width="15.7109375" style="229" hidden="1" customWidth="1"/>
    <col min="15" max="15" width="15.85546875" style="229" hidden="1" customWidth="1"/>
    <col min="16" max="16" width="23.5703125" style="229" hidden="1" customWidth="1"/>
    <col min="17" max="17" width="17.85546875" style="229" hidden="1" customWidth="1"/>
    <col min="18" max="18" width="15.85546875" style="229" hidden="1" customWidth="1"/>
    <col min="19" max="19" width="23.140625" style="229" hidden="1" customWidth="1"/>
    <col min="20" max="20" width="26.42578125" style="229" hidden="1" customWidth="1"/>
    <col min="21" max="21" width="16.7109375" style="229" bestFit="1" customWidth="1"/>
    <col min="22" max="22" width="20.42578125" style="229" hidden="1" customWidth="1"/>
    <col min="23" max="23" width="15.7109375" style="229" hidden="1" customWidth="1"/>
    <col min="24" max="24" width="16.85546875" style="229" hidden="1" customWidth="1"/>
    <col min="25" max="25" width="17.140625" style="229" hidden="1" customWidth="1"/>
    <col min="26" max="26" width="13.140625" style="229" bestFit="1" customWidth="1"/>
    <col min="27" max="27" width="15.85546875" style="229" hidden="1" customWidth="1"/>
    <col min="28" max="28" width="11.42578125" style="229"/>
    <col min="29" max="29" width="15.5703125" style="229" bestFit="1" customWidth="1"/>
    <col min="30" max="16384" width="11.42578125" style="229"/>
  </cols>
  <sheetData>
    <row r="1" spans="1:28" x14ac:dyDescent="0.25">
      <c r="A1" s="427" t="s">
        <v>506</v>
      </c>
      <c r="B1" s="427"/>
      <c r="C1" s="427"/>
      <c r="D1" s="427"/>
      <c r="E1" s="427"/>
      <c r="F1" s="427"/>
      <c r="G1" s="427"/>
      <c r="H1" s="427"/>
      <c r="I1" s="427"/>
      <c r="J1" s="427"/>
      <c r="K1" s="427"/>
      <c r="L1" s="427"/>
      <c r="M1" s="427"/>
      <c r="N1" s="427"/>
      <c r="O1" s="427"/>
      <c r="P1" s="427"/>
      <c r="Q1" s="427"/>
      <c r="R1" s="427"/>
      <c r="S1" s="427"/>
      <c r="T1" s="427"/>
      <c r="U1" s="427"/>
      <c r="V1" s="427"/>
      <c r="W1" s="427"/>
      <c r="X1" s="427"/>
      <c r="Y1" s="427"/>
      <c r="Z1" s="427"/>
      <c r="AA1" s="427"/>
    </row>
    <row r="2" spans="1:28" x14ac:dyDescent="0.25">
      <c r="A2" s="426" t="s">
        <v>507</v>
      </c>
      <c r="B2" s="426"/>
      <c r="C2" s="426"/>
      <c r="D2" s="426"/>
      <c r="E2" s="426"/>
      <c r="F2" s="426"/>
      <c r="G2" s="426"/>
      <c r="H2" s="426"/>
      <c r="I2" s="426"/>
      <c r="J2" s="426"/>
      <c r="K2" s="426"/>
      <c r="L2" s="426"/>
      <c r="M2" s="426"/>
      <c r="N2" s="426"/>
      <c r="O2" s="426"/>
      <c r="P2" s="426"/>
      <c r="Q2" s="426"/>
      <c r="R2" s="426"/>
      <c r="S2" s="426"/>
      <c r="T2" s="426"/>
      <c r="U2" s="426"/>
      <c r="V2" s="426"/>
      <c r="W2" s="426"/>
      <c r="X2" s="426"/>
      <c r="Y2" s="426"/>
      <c r="Z2" s="426"/>
      <c r="AA2" s="426"/>
      <c r="AB2" s="230"/>
    </row>
    <row r="3" spans="1:28" x14ac:dyDescent="0.25">
      <c r="A3" s="426" t="s">
        <v>508</v>
      </c>
      <c r="B3" s="426"/>
      <c r="C3" s="426"/>
      <c r="D3" s="426"/>
      <c r="E3" s="426"/>
      <c r="F3" s="426"/>
      <c r="G3" s="426"/>
      <c r="H3" s="426"/>
      <c r="I3" s="426"/>
      <c r="J3" s="426"/>
      <c r="K3" s="426"/>
      <c r="L3" s="426"/>
      <c r="M3" s="426"/>
      <c r="N3" s="426"/>
      <c r="O3" s="426"/>
      <c r="P3" s="426"/>
      <c r="Q3" s="426"/>
      <c r="R3" s="426"/>
      <c r="S3" s="426"/>
      <c r="T3" s="426"/>
      <c r="U3" s="426"/>
      <c r="V3" s="426"/>
      <c r="W3" s="426"/>
      <c r="X3" s="426"/>
      <c r="Y3" s="426"/>
      <c r="Z3" s="426"/>
      <c r="AA3" s="426"/>
      <c r="AB3" s="230"/>
    </row>
    <row r="4" spans="1:28" x14ac:dyDescent="0.25">
      <c r="A4" s="426" t="s">
        <v>796</v>
      </c>
      <c r="B4" s="426"/>
      <c r="C4" s="426"/>
      <c r="D4" s="426"/>
      <c r="E4" s="426"/>
      <c r="F4" s="426"/>
      <c r="G4" s="426"/>
      <c r="H4" s="426"/>
      <c r="I4" s="426"/>
      <c r="J4" s="426"/>
      <c r="K4" s="426"/>
      <c r="L4" s="426"/>
      <c r="M4" s="426"/>
      <c r="N4" s="426"/>
      <c r="O4" s="426"/>
      <c r="P4" s="426"/>
      <c r="Q4" s="426"/>
      <c r="R4" s="426"/>
      <c r="S4" s="426"/>
      <c r="T4" s="426"/>
      <c r="U4" s="426"/>
      <c r="V4" s="426"/>
      <c r="W4" s="426"/>
      <c r="X4" s="426"/>
      <c r="Y4" s="426"/>
      <c r="Z4" s="426"/>
      <c r="AA4" s="426"/>
    </row>
    <row r="5" spans="1:28" x14ac:dyDescent="0.25">
      <c r="A5" s="426" t="s">
        <v>797</v>
      </c>
      <c r="B5" s="426"/>
      <c r="C5" s="426"/>
      <c r="D5" s="426"/>
      <c r="E5" s="426"/>
      <c r="F5" s="426"/>
      <c r="G5" s="426"/>
      <c r="H5" s="426"/>
      <c r="I5" s="426"/>
      <c r="J5" s="426"/>
      <c r="K5" s="426"/>
      <c r="L5" s="426"/>
      <c r="M5" s="426"/>
      <c r="N5" s="426"/>
      <c r="O5" s="426"/>
      <c r="P5" s="426"/>
      <c r="Q5" s="426"/>
      <c r="R5" s="426"/>
      <c r="S5" s="426"/>
      <c r="T5" s="426"/>
      <c r="U5" s="426"/>
      <c r="V5" s="426"/>
      <c r="W5" s="426"/>
      <c r="X5" s="426"/>
      <c r="Y5" s="426"/>
      <c r="Z5" s="426"/>
      <c r="AA5" s="426"/>
      <c r="AB5" s="230"/>
    </row>
    <row r="6" spans="1:28" x14ac:dyDescent="0.25">
      <c r="A6" s="426" t="s">
        <v>736</v>
      </c>
      <c r="B6" s="426"/>
      <c r="C6" s="426"/>
      <c r="D6" s="426"/>
      <c r="E6" s="426"/>
      <c r="F6" s="426"/>
      <c r="G6" s="426"/>
      <c r="H6" s="426"/>
      <c r="I6" s="426"/>
      <c r="J6" s="426"/>
      <c r="K6" s="426"/>
      <c r="L6" s="426"/>
      <c r="M6" s="426"/>
      <c r="N6" s="426"/>
      <c r="O6" s="426"/>
      <c r="P6" s="426"/>
      <c r="Q6" s="426"/>
      <c r="R6" s="426"/>
      <c r="S6" s="426"/>
      <c r="T6" s="426"/>
      <c r="U6" s="426"/>
      <c r="V6" s="426"/>
      <c r="W6" s="426"/>
      <c r="X6" s="426"/>
      <c r="Y6" s="426"/>
      <c r="Z6" s="426"/>
      <c r="AA6" s="426"/>
      <c r="AB6" s="230"/>
    </row>
    <row r="7" spans="1:28" ht="21" customHeight="1" x14ac:dyDescent="0.25">
      <c r="A7" s="231" t="s">
        <v>512</v>
      </c>
      <c r="B7" s="231" t="s">
        <v>513</v>
      </c>
      <c r="C7" s="231" t="s">
        <v>514</v>
      </c>
      <c r="D7" s="231" t="s">
        <v>515</v>
      </c>
      <c r="E7" s="231" t="s">
        <v>516</v>
      </c>
      <c r="F7" s="231" t="s">
        <v>517</v>
      </c>
      <c r="G7" s="231" t="s">
        <v>518</v>
      </c>
      <c r="H7" s="231" t="s">
        <v>519</v>
      </c>
      <c r="I7" s="231" t="s">
        <v>520</v>
      </c>
      <c r="J7" s="231" t="s">
        <v>521</v>
      </c>
      <c r="K7" s="231" t="s">
        <v>522</v>
      </c>
      <c r="L7" s="231" t="s">
        <v>523</v>
      </c>
      <c r="M7" s="231" t="s">
        <v>524</v>
      </c>
      <c r="N7" s="231" t="s">
        <v>525</v>
      </c>
      <c r="O7" s="231" t="s">
        <v>526</v>
      </c>
      <c r="P7" s="231" t="s">
        <v>527</v>
      </c>
      <c r="Q7" s="231" t="s">
        <v>528</v>
      </c>
      <c r="R7" s="231" t="s">
        <v>529</v>
      </c>
      <c r="S7" s="231" t="s">
        <v>530</v>
      </c>
      <c r="T7" s="231" t="s">
        <v>531</v>
      </c>
      <c r="U7" s="231" t="s">
        <v>532</v>
      </c>
      <c r="V7" s="231" t="s">
        <v>533</v>
      </c>
      <c r="W7" s="231" t="s">
        <v>534</v>
      </c>
      <c r="X7" s="231" t="s">
        <v>535</v>
      </c>
      <c r="Y7" s="231" t="s">
        <v>536</v>
      </c>
      <c r="Z7" s="231" t="s">
        <v>537</v>
      </c>
      <c r="AA7" s="231" t="s">
        <v>538</v>
      </c>
    </row>
    <row r="8" spans="1:28" s="134" customFormat="1" ht="16.5" customHeight="1" x14ac:dyDescent="0.25">
      <c r="A8" s="131" t="s">
        <v>539</v>
      </c>
      <c r="B8" s="131" t="s">
        <v>540</v>
      </c>
      <c r="C8" s="131" t="s">
        <v>541</v>
      </c>
      <c r="D8" s="131" t="s">
        <v>542</v>
      </c>
      <c r="E8" s="131" t="s">
        <v>539</v>
      </c>
      <c r="F8" s="132">
        <v>6974000000</v>
      </c>
      <c r="G8" s="132">
        <v>0</v>
      </c>
      <c r="H8" s="133">
        <v>0</v>
      </c>
      <c r="I8" s="133">
        <v>0</v>
      </c>
      <c r="J8" s="133">
        <v>0</v>
      </c>
      <c r="K8" s="132">
        <v>0</v>
      </c>
      <c r="L8" s="132">
        <v>0</v>
      </c>
      <c r="M8" s="132">
        <v>6974000000</v>
      </c>
      <c r="N8" s="133">
        <v>0</v>
      </c>
      <c r="O8" s="132">
        <v>2737468245</v>
      </c>
      <c r="P8" s="132">
        <v>2737468245</v>
      </c>
      <c r="Q8" s="133">
        <v>0</v>
      </c>
      <c r="R8" s="132">
        <v>4236531755</v>
      </c>
      <c r="S8" s="133">
        <v>0</v>
      </c>
      <c r="T8" s="132">
        <v>1691906419</v>
      </c>
      <c r="U8" s="132">
        <v>1691906419</v>
      </c>
      <c r="V8" s="132">
        <v>5282093581</v>
      </c>
      <c r="W8" s="132">
        <v>90025769</v>
      </c>
      <c r="X8" s="133">
        <v>0</v>
      </c>
      <c r="Y8" s="132">
        <v>66256652</v>
      </c>
      <c r="Z8" s="132">
        <v>66256652</v>
      </c>
      <c r="AA8" s="132">
        <v>1625649767</v>
      </c>
    </row>
    <row r="9" spans="1:28" s="138" customFormat="1" ht="16.5" customHeight="1" x14ac:dyDescent="0.25">
      <c r="A9" s="135" t="s">
        <v>539</v>
      </c>
      <c r="B9" s="135" t="s">
        <v>543</v>
      </c>
      <c r="C9" s="135" t="s">
        <v>541</v>
      </c>
      <c r="D9" s="135" t="s">
        <v>544</v>
      </c>
      <c r="E9" s="135" t="s">
        <v>539</v>
      </c>
      <c r="F9" s="136">
        <v>2609081949</v>
      </c>
      <c r="G9" s="137">
        <v>0</v>
      </c>
      <c r="H9" s="137">
        <v>0</v>
      </c>
      <c r="I9" s="137">
        <v>0</v>
      </c>
      <c r="J9" s="137">
        <v>0</v>
      </c>
      <c r="K9" s="136">
        <v>0</v>
      </c>
      <c r="L9" s="136">
        <v>0</v>
      </c>
      <c r="M9" s="136">
        <v>2609081949</v>
      </c>
      <c r="N9" s="137">
        <v>0</v>
      </c>
      <c r="O9" s="136">
        <v>601183359</v>
      </c>
      <c r="P9" s="136">
        <v>601183359</v>
      </c>
      <c r="Q9" s="137">
        <v>0</v>
      </c>
      <c r="R9" s="136">
        <v>2007898590</v>
      </c>
      <c r="S9" s="137">
        <v>0</v>
      </c>
      <c r="T9" s="136">
        <v>276365169</v>
      </c>
      <c r="U9" s="136">
        <v>276365169</v>
      </c>
      <c r="V9" s="136">
        <v>2332716780</v>
      </c>
      <c r="W9" s="136">
        <v>90025769</v>
      </c>
      <c r="X9" s="137">
        <v>0</v>
      </c>
      <c r="Y9" s="136">
        <v>66256652</v>
      </c>
      <c r="Z9" s="136">
        <v>66256652</v>
      </c>
      <c r="AA9" s="136">
        <v>210108517</v>
      </c>
    </row>
    <row r="10" spans="1:28" ht="16.5" customHeight="1" x14ac:dyDescent="0.25">
      <c r="A10" s="232" t="s">
        <v>539</v>
      </c>
      <c r="B10" s="232" t="s">
        <v>545</v>
      </c>
      <c r="C10" s="232" t="s">
        <v>541</v>
      </c>
      <c r="D10" s="232" t="s">
        <v>546</v>
      </c>
      <c r="E10" s="232" t="s">
        <v>539</v>
      </c>
      <c r="F10" s="233">
        <v>1587025756</v>
      </c>
      <c r="G10" s="234">
        <v>0</v>
      </c>
      <c r="H10" s="234">
        <v>0</v>
      </c>
      <c r="I10" s="234">
        <v>0</v>
      </c>
      <c r="J10" s="234">
        <v>0</v>
      </c>
      <c r="K10" s="234">
        <v>0</v>
      </c>
      <c r="L10" s="234">
        <v>0</v>
      </c>
      <c r="M10" s="233">
        <v>1587025756</v>
      </c>
      <c r="N10" s="234">
        <v>0</v>
      </c>
      <c r="O10" s="233">
        <v>86808152</v>
      </c>
      <c r="P10" s="233">
        <v>86808152</v>
      </c>
      <c r="Q10" s="234">
        <v>0</v>
      </c>
      <c r="R10" s="233">
        <v>1500217604</v>
      </c>
      <c r="S10" s="234">
        <v>0</v>
      </c>
      <c r="T10" s="233">
        <v>86808152</v>
      </c>
      <c r="U10" s="233">
        <v>86808152</v>
      </c>
      <c r="V10" s="233">
        <v>1500217604</v>
      </c>
      <c r="W10" s="233">
        <v>86728752</v>
      </c>
      <c r="X10" s="234">
        <v>0</v>
      </c>
      <c r="Y10" s="233">
        <v>66256652</v>
      </c>
      <c r="Z10" s="233">
        <v>66256652</v>
      </c>
      <c r="AA10" s="233">
        <v>20551500</v>
      </c>
    </row>
    <row r="11" spans="1:28" ht="16.5" customHeight="1" x14ac:dyDescent="0.25">
      <c r="A11" s="232" t="s">
        <v>539</v>
      </c>
      <c r="B11" s="232" t="s">
        <v>547</v>
      </c>
      <c r="C11" s="232" t="s">
        <v>541</v>
      </c>
      <c r="D11" s="232" t="s">
        <v>548</v>
      </c>
      <c r="E11" s="232" t="s">
        <v>539</v>
      </c>
      <c r="F11" s="233">
        <v>1587025756</v>
      </c>
      <c r="G11" s="234">
        <v>0</v>
      </c>
      <c r="H11" s="234">
        <v>0</v>
      </c>
      <c r="I11" s="234">
        <v>0</v>
      </c>
      <c r="J11" s="234">
        <v>0</v>
      </c>
      <c r="K11" s="234">
        <v>0</v>
      </c>
      <c r="L11" s="234">
        <v>0</v>
      </c>
      <c r="M11" s="233">
        <v>1587025756</v>
      </c>
      <c r="N11" s="234">
        <v>0</v>
      </c>
      <c r="O11" s="233">
        <v>86808152</v>
      </c>
      <c r="P11" s="233">
        <v>86808152</v>
      </c>
      <c r="Q11" s="234">
        <v>0</v>
      </c>
      <c r="R11" s="233">
        <v>1500217604</v>
      </c>
      <c r="S11" s="234">
        <v>0</v>
      </c>
      <c r="T11" s="233">
        <v>86808152</v>
      </c>
      <c r="U11" s="233">
        <v>86808152</v>
      </c>
      <c r="V11" s="233">
        <v>1500217604</v>
      </c>
      <c r="W11" s="233">
        <v>86728752</v>
      </c>
      <c r="X11" s="234">
        <v>0</v>
      </c>
      <c r="Y11" s="233">
        <v>66256652</v>
      </c>
      <c r="Z11" s="233">
        <v>66256652</v>
      </c>
      <c r="AA11" s="233">
        <v>20551500</v>
      </c>
    </row>
    <row r="12" spans="1:28" ht="16.5" hidden="1" customHeight="1" x14ac:dyDescent="0.25">
      <c r="A12" s="232" t="s">
        <v>539</v>
      </c>
      <c r="B12" s="232" t="s">
        <v>549</v>
      </c>
      <c r="C12" s="232" t="s">
        <v>541</v>
      </c>
      <c r="D12" s="232" t="s">
        <v>550</v>
      </c>
      <c r="E12" s="232" t="s">
        <v>539</v>
      </c>
      <c r="F12" s="233">
        <v>1107587483</v>
      </c>
      <c r="G12" s="234">
        <v>0</v>
      </c>
      <c r="H12" s="234">
        <v>0</v>
      </c>
      <c r="I12" s="234">
        <v>0</v>
      </c>
      <c r="J12" s="234">
        <v>0</v>
      </c>
      <c r="K12" s="234">
        <v>0</v>
      </c>
      <c r="L12" s="234">
        <v>0</v>
      </c>
      <c r="M12" s="233">
        <v>1107587483</v>
      </c>
      <c r="N12" s="234">
        <v>0</v>
      </c>
      <c r="O12" s="233">
        <v>66256652</v>
      </c>
      <c r="P12" s="233">
        <v>66256652</v>
      </c>
      <c r="Q12" s="234">
        <v>0</v>
      </c>
      <c r="R12" s="233">
        <v>1041330831</v>
      </c>
      <c r="S12" s="234">
        <v>0</v>
      </c>
      <c r="T12" s="233">
        <v>66256652</v>
      </c>
      <c r="U12" s="233">
        <v>66256652</v>
      </c>
      <c r="V12" s="233">
        <v>1041330831</v>
      </c>
      <c r="W12" s="233">
        <v>66256652</v>
      </c>
      <c r="X12" s="234">
        <v>0</v>
      </c>
      <c r="Y12" s="233">
        <v>66256652</v>
      </c>
      <c r="Z12" s="233">
        <v>66256652</v>
      </c>
      <c r="AA12" s="234">
        <v>0</v>
      </c>
    </row>
    <row r="13" spans="1:28" ht="16.5" hidden="1" customHeight="1" x14ac:dyDescent="0.25">
      <c r="A13" s="232" t="s">
        <v>539</v>
      </c>
      <c r="B13" s="232" t="s">
        <v>551</v>
      </c>
      <c r="C13" s="232" t="s">
        <v>541</v>
      </c>
      <c r="D13" s="232" t="s">
        <v>552</v>
      </c>
      <c r="E13" s="232" t="s">
        <v>539</v>
      </c>
      <c r="F13" s="233">
        <v>1107587483</v>
      </c>
      <c r="G13" s="234">
        <v>0</v>
      </c>
      <c r="H13" s="234">
        <v>0</v>
      </c>
      <c r="I13" s="234">
        <v>0</v>
      </c>
      <c r="J13" s="234">
        <v>0</v>
      </c>
      <c r="K13" s="234">
        <v>0</v>
      </c>
      <c r="L13" s="234">
        <v>0</v>
      </c>
      <c r="M13" s="233">
        <v>1107587483</v>
      </c>
      <c r="N13" s="234">
        <v>0</v>
      </c>
      <c r="O13" s="233">
        <v>66256652</v>
      </c>
      <c r="P13" s="233">
        <v>66256652</v>
      </c>
      <c r="Q13" s="234">
        <v>0</v>
      </c>
      <c r="R13" s="233">
        <v>1041330831</v>
      </c>
      <c r="S13" s="234">
        <v>0</v>
      </c>
      <c r="T13" s="233">
        <v>66256652</v>
      </c>
      <c r="U13" s="233">
        <v>66256652</v>
      </c>
      <c r="V13" s="233">
        <v>1041330831</v>
      </c>
      <c r="W13" s="233">
        <v>66256652</v>
      </c>
      <c r="X13" s="234">
        <v>0</v>
      </c>
      <c r="Y13" s="233">
        <v>66256652</v>
      </c>
      <c r="Z13" s="233">
        <v>66256652</v>
      </c>
      <c r="AA13" s="234">
        <v>0</v>
      </c>
    </row>
    <row r="14" spans="1:28" ht="16.5" hidden="1" customHeight="1" x14ac:dyDescent="0.25">
      <c r="A14" s="232" t="s">
        <v>737</v>
      </c>
      <c r="B14" s="232" t="s">
        <v>554</v>
      </c>
      <c r="C14" s="232" t="s">
        <v>541</v>
      </c>
      <c r="D14" s="232" t="s">
        <v>555</v>
      </c>
      <c r="E14" s="232" t="s">
        <v>556</v>
      </c>
      <c r="F14" s="233">
        <v>880317528</v>
      </c>
      <c r="G14" s="234">
        <v>0</v>
      </c>
      <c r="H14" s="234">
        <v>0</v>
      </c>
      <c r="I14" s="234">
        <v>0</v>
      </c>
      <c r="J14" s="234">
        <v>0</v>
      </c>
      <c r="K14" s="234">
        <v>0</v>
      </c>
      <c r="L14" s="234">
        <v>0</v>
      </c>
      <c r="M14" s="233">
        <v>880317528</v>
      </c>
      <c r="N14" s="234">
        <v>0</v>
      </c>
      <c r="O14" s="233">
        <v>66256652</v>
      </c>
      <c r="P14" s="233">
        <v>66256652</v>
      </c>
      <c r="Q14" s="234">
        <v>0</v>
      </c>
      <c r="R14" s="233">
        <v>814060876</v>
      </c>
      <c r="S14" s="234">
        <v>0</v>
      </c>
      <c r="T14" s="233">
        <v>66256652</v>
      </c>
      <c r="U14" s="233">
        <v>66256652</v>
      </c>
      <c r="V14" s="233">
        <v>814060876</v>
      </c>
      <c r="W14" s="233">
        <v>66256652</v>
      </c>
      <c r="X14" s="234">
        <v>0</v>
      </c>
      <c r="Y14" s="233">
        <v>66256652</v>
      </c>
      <c r="Z14" s="233">
        <v>66256652</v>
      </c>
      <c r="AA14" s="234">
        <v>0</v>
      </c>
    </row>
    <row r="15" spans="1:28" ht="16.5" hidden="1" customHeight="1" x14ac:dyDescent="0.25">
      <c r="A15" s="232" t="s">
        <v>738</v>
      </c>
      <c r="B15" s="232" t="s">
        <v>558</v>
      </c>
      <c r="C15" s="232" t="s">
        <v>541</v>
      </c>
      <c r="D15" s="232" t="s">
        <v>559</v>
      </c>
      <c r="E15" s="232" t="s">
        <v>556</v>
      </c>
      <c r="F15" s="233">
        <v>75499453</v>
      </c>
      <c r="G15" s="234">
        <v>0</v>
      </c>
      <c r="H15" s="234">
        <v>0</v>
      </c>
      <c r="I15" s="234">
        <v>0</v>
      </c>
      <c r="J15" s="234">
        <v>0</v>
      </c>
      <c r="K15" s="234">
        <v>0</v>
      </c>
      <c r="L15" s="234">
        <v>0</v>
      </c>
      <c r="M15" s="233">
        <v>75499453</v>
      </c>
      <c r="N15" s="234">
        <v>0</v>
      </c>
      <c r="O15" s="234">
        <v>0</v>
      </c>
      <c r="P15" s="234">
        <v>0</v>
      </c>
      <c r="Q15" s="234">
        <v>0</v>
      </c>
      <c r="R15" s="233">
        <v>75499453</v>
      </c>
      <c r="S15" s="234">
        <v>0</v>
      </c>
      <c r="T15" s="234">
        <v>0</v>
      </c>
      <c r="U15" s="234">
        <v>0</v>
      </c>
      <c r="V15" s="233">
        <v>75499453</v>
      </c>
      <c r="W15" s="234">
        <v>0</v>
      </c>
      <c r="X15" s="234">
        <v>0</v>
      </c>
      <c r="Y15" s="234">
        <v>0</v>
      </c>
      <c r="Z15" s="234">
        <v>0</v>
      </c>
      <c r="AA15" s="234">
        <v>0</v>
      </c>
    </row>
    <row r="16" spans="1:28" ht="16.5" hidden="1" customHeight="1" x14ac:dyDescent="0.25">
      <c r="A16" s="232" t="s">
        <v>739</v>
      </c>
      <c r="B16" s="232" t="s">
        <v>561</v>
      </c>
      <c r="C16" s="232" t="s">
        <v>541</v>
      </c>
      <c r="D16" s="232" t="s">
        <v>562</v>
      </c>
      <c r="E16" s="232" t="s">
        <v>556</v>
      </c>
      <c r="F16" s="233">
        <v>25675926</v>
      </c>
      <c r="G16" s="234">
        <v>0</v>
      </c>
      <c r="H16" s="234">
        <v>0</v>
      </c>
      <c r="I16" s="234">
        <v>0</v>
      </c>
      <c r="J16" s="234">
        <v>0</v>
      </c>
      <c r="K16" s="234">
        <v>0</v>
      </c>
      <c r="L16" s="234">
        <v>0</v>
      </c>
      <c r="M16" s="233">
        <v>25675926</v>
      </c>
      <c r="N16" s="234">
        <v>0</v>
      </c>
      <c r="O16" s="234">
        <v>0</v>
      </c>
      <c r="P16" s="234">
        <v>0</v>
      </c>
      <c r="Q16" s="234">
        <v>0</v>
      </c>
      <c r="R16" s="233">
        <v>25675926</v>
      </c>
      <c r="S16" s="234">
        <v>0</v>
      </c>
      <c r="T16" s="234">
        <v>0</v>
      </c>
      <c r="U16" s="234">
        <v>0</v>
      </c>
      <c r="V16" s="233">
        <v>25675926</v>
      </c>
      <c r="W16" s="234">
        <v>0</v>
      </c>
      <c r="X16" s="234">
        <v>0</v>
      </c>
      <c r="Y16" s="234">
        <v>0</v>
      </c>
      <c r="Z16" s="234">
        <v>0</v>
      </c>
      <c r="AA16" s="234">
        <v>0</v>
      </c>
    </row>
    <row r="17" spans="1:27" ht="16.5" hidden="1" customHeight="1" x14ac:dyDescent="0.25">
      <c r="A17" s="232" t="s">
        <v>539</v>
      </c>
      <c r="B17" s="232" t="s">
        <v>563</v>
      </c>
      <c r="C17" s="232" t="s">
        <v>541</v>
      </c>
      <c r="D17" s="232" t="s">
        <v>564</v>
      </c>
      <c r="E17" s="232" t="s">
        <v>539</v>
      </c>
      <c r="F17" s="233">
        <v>126094576</v>
      </c>
      <c r="G17" s="234">
        <v>0</v>
      </c>
      <c r="H17" s="234">
        <v>0</v>
      </c>
      <c r="I17" s="234">
        <v>0</v>
      </c>
      <c r="J17" s="234">
        <v>0</v>
      </c>
      <c r="K17" s="234">
        <v>0</v>
      </c>
      <c r="L17" s="234">
        <v>0</v>
      </c>
      <c r="M17" s="233">
        <v>126094576</v>
      </c>
      <c r="N17" s="234">
        <v>0</v>
      </c>
      <c r="O17" s="234">
        <v>0</v>
      </c>
      <c r="P17" s="234">
        <v>0</v>
      </c>
      <c r="Q17" s="234">
        <v>0</v>
      </c>
      <c r="R17" s="233">
        <v>126094576</v>
      </c>
      <c r="S17" s="234">
        <v>0</v>
      </c>
      <c r="T17" s="234">
        <v>0</v>
      </c>
      <c r="U17" s="234">
        <v>0</v>
      </c>
      <c r="V17" s="233">
        <v>126094576</v>
      </c>
      <c r="W17" s="234">
        <v>0</v>
      </c>
      <c r="X17" s="234">
        <v>0</v>
      </c>
      <c r="Y17" s="234">
        <v>0</v>
      </c>
      <c r="Z17" s="234">
        <v>0</v>
      </c>
      <c r="AA17" s="234">
        <v>0</v>
      </c>
    </row>
    <row r="18" spans="1:27" ht="16.5" hidden="1" customHeight="1" x14ac:dyDescent="0.25">
      <c r="A18" s="232" t="s">
        <v>740</v>
      </c>
      <c r="B18" s="232" t="s">
        <v>566</v>
      </c>
      <c r="C18" s="232" t="s">
        <v>541</v>
      </c>
      <c r="D18" s="232" t="s">
        <v>567</v>
      </c>
      <c r="E18" s="232" t="s">
        <v>556</v>
      </c>
      <c r="F18" s="233">
        <v>85199034</v>
      </c>
      <c r="G18" s="234">
        <v>0</v>
      </c>
      <c r="H18" s="234">
        <v>0</v>
      </c>
      <c r="I18" s="234">
        <v>0</v>
      </c>
      <c r="J18" s="234">
        <v>0</v>
      </c>
      <c r="K18" s="234">
        <v>0</v>
      </c>
      <c r="L18" s="234">
        <v>0</v>
      </c>
      <c r="M18" s="233">
        <v>85199034</v>
      </c>
      <c r="N18" s="234">
        <v>0</v>
      </c>
      <c r="O18" s="234">
        <v>0</v>
      </c>
      <c r="P18" s="234">
        <v>0</v>
      </c>
      <c r="Q18" s="234">
        <v>0</v>
      </c>
      <c r="R18" s="233">
        <v>85199034</v>
      </c>
      <c r="S18" s="234">
        <v>0</v>
      </c>
      <c r="T18" s="234">
        <v>0</v>
      </c>
      <c r="U18" s="234">
        <v>0</v>
      </c>
      <c r="V18" s="233">
        <v>85199034</v>
      </c>
      <c r="W18" s="234">
        <v>0</v>
      </c>
      <c r="X18" s="234">
        <v>0</v>
      </c>
      <c r="Y18" s="234">
        <v>0</v>
      </c>
      <c r="Z18" s="234">
        <v>0</v>
      </c>
      <c r="AA18" s="234">
        <v>0</v>
      </c>
    </row>
    <row r="19" spans="1:27" ht="16.5" hidden="1" customHeight="1" x14ac:dyDescent="0.25">
      <c r="A19" s="232" t="s">
        <v>741</v>
      </c>
      <c r="B19" s="232" t="s">
        <v>573</v>
      </c>
      <c r="C19" s="232" t="s">
        <v>541</v>
      </c>
      <c r="D19" s="232" t="s">
        <v>574</v>
      </c>
      <c r="E19" s="232" t="s">
        <v>556</v>
      </c>
      <c r="F19" s="233">
        <v>40895542</v>
      </c>
      <c r="G19" s="234">
        <v>0</v>
      </c>
      <c r="H19" s="234">
        <v>0</v>
      </c>
      <c r="I19" s="234">
        <v>0</v>
      </c>
      <c r="J19" s="234">
        <v>0</v>
      </c>
      <c r="K19" s="234">
        <v>0</v>
      </c>
      <c r="L19" s="234">
        <v>0</v>
      </c>
      <c r="M19" s="233">
        <v>40895542</v>
      </c>
      <c r="N19" s="234">
        <v>0</v>
      </c>
      <c r="O19" s="234">
        <v>0</v>
      </c>
      <c r="P19" s="234">
        <v>0</v>
      </c>
      <c r="Q19" s="234">
        <v>0</v>
      </c>
      <c r="R19" s="233">
        <v>40895542</v>
      </c>
      <c r="S19" s="234">
        <v>0</v>
      </c>
      <c r="T19" s="234">
        <v>0</v>
      </c>
      <c r="U19" s="234">
        <v>0</v>
      </c>
      <c r="V19" s="233">
        <v>40895542</v>
      </c>
      <c r="W19" s="234">
        <v>0</v>
      </c>
      <c r="X19" s="234">
        <v>0</v>
      </c>
      <c r="Y19" s="234">
        <v>0</v>
      </c>
      <c r="Z19" s="234">
        <v>0</v>
      </c>
      <c r="AA19" s="234">
        <v>0</v>
      </c>
    </row>
    <row r="20" spans="1:27" ht="16.5" hidden="1" customHeight="1" x14ac:dyDescent="0.25">
      <c r="A20" s="232" t="s">
        <v>539</v>
      </c>
      <c r="B20" s="232" t="s">
        <v>578</v>
      </c>
      <c r="C20" s="232" t="s">
        <v>541</v>
      </c>
      <c r="D20" s="232" t="s">
        <v>579</v>
      </c>
      <c r="E20" s="232" t="s">
        <v>539</v>
      </c>
      <c r="F20" s="233">
        <v>391841130</v>
      </c>
      <c r="G20" s="234">
        <v>0</v>
      </c>
      <c r="H20" s="234">
        <v>0</v>
      </c>
      <c r="I20" s="234">
        <v>0</v>
      </c>
      <c r="J20" s="234">
        <v>0</v>
      </c>
      <c r="K20" s="234">
        <v>0</v>
      </c>
      <c r="L20" s="234">
        <v>0</v>
      </c>
      <c r="M20" s="233">
        <v>391841130</v>
      </c>
      <c r="N20" s="234">
        <v>0</v>
      </c>
      <c r="O20" s="233">
        <v>20551500</v>
      </c>
      <c r="P20" s="233">
        <v>20551500</v>
      </c>
      <c r="Q20" s="234">
        <v>0</v>
      </c>
      <c r="R20" s="233">
        <v>371289630</v>
      </c>
      <c r="S20" s="234">
        <v>0</v>
      </c>
      <c r="T20" s="233">
        <v>20551500</v>
      </c>
      <c r="U20" s="233">
        <v>20551500</v>
      </c>
      <c r="V20" s="233">
        <v>371289630</v>
      </c>
      <c r="W20" s="233">
        <v>20472100</v>
      </c>
      <c r="X20" s="234">
        <v>0</v>
      </c>
      <c r="Y20" s="234">
        <v>0</v>
      </c>
      <c r="Z20" s="234">
        <v>0</v>
      </c>
      <c r="AA20" s="233">
        <v>20551500</v>
      </c>
    </row>
    <row r="21" spans="1:27" ht="16.5" hidden="1" customHeight="1" x14ac:dyDescent="0.25">
      <c r="A21" s="232" t="s">
        <v>742</v>
      </c>
      <c r="B21" s="232" t="s">
        <v>581</v>
      </c>
      <c r="C21" s="232" t="s">
        <v>541</v>
      </c>
      <c r="D21" s="232" t="s">
        <v>582</v>
      </c>
      <c r="E21" s="232" t="s">
        <v>556</v>
      </c>
      <c r="F21" s="233">
        <v>108719214</v>
      </c>
      <c r="G21" s="234">
        <v>0</v>
      </c>
      <c r="H21" s="234">
        <v>0</v>
      </c>
      <c r="I21" s="234">
        <v>0</v>
      </c>
      <c r="J21" s="234">
        <v>0</v>
      </c>
      <c r="K21" s="234">
        <v>0</v>
      </c>
      <c r="L21" s="234">
        <v>0</v>
      </c>
      <c r="M21" s="233">
        <v>108719214</v>
      </c>
      <c r="N21" s="234">
        <v>0</v>
      </c>
      <c r="O21" s="233">
        <v>8056000</v>
      </c>
      <c r="P21" s="233">
        <v>8056000</v>
      </c>
      <c r="Q21" s="234">
        <v>0</v>
      </c>
      <c r="R21" s="233">
        <v>100663214</v>
      </c>
      <c r="S21" s="234">
        <v>0</v>
      </c>
      <c r="T21" s="233">
        <v>8056000</v>
      </c>
      <c r="U21" s="233">
        <v>8056000</v>
      </c>
      <c r="V21" s="233">
        <v>100663214</v>
      </c>
      <c r="W21" s="233">
        <v>8056000</v>
      </c>
      <c r="X21" s="234">
        <v>0</v>
      </c>
      <c r="Y21" s="234">
        <v>0</v>
      </c>
      <c r="Z21" s="234">
        <v>0</v>
      </c>
      <c r="AA21" s="233">
        <v>8056000</v>
      </c>
    </row>
    <row r="22" spans="1:27" ht="16.5" hidden="1" customHeight="1" x14ac:dyDescent="0.25">
      <c r="A22" s="232" t="s">
        <v>743</v>
      </c>
      <c r="B22" s="232" t="s">
        <v>584</v>
      </c>
      <c r="C22" s="232" t="s">
        <v>541</v>
      </c>
      <c r="D22" s="232" t="s">
        <v>585</v>
      </c>
      <c r="E22" s="232" t="s">
        <v>556</v>
      </c>
      <c r="F22" s="233">
        <v>77009444</v>
      </c>
      <c r="G22" s="234">
        <v>0</v>
      </c>
      <c r="H22" s="234">
        <v>0</v>
      </c>
      <c r="I22" s="234">
        <v>0</v>
      </c>
      <c r="J22" s="234">
        <v>0</v>
      </c>
      <c r="K22" s="234">
        <v>0</v>
      </c>
      <c r="L22" s="234">
        <v>0</v>
      </c>
      <c r="M22" s="233">
        <v>77009444</v>
      </c>
      <c r="N22" s="234">
        <v>0</v>
      </c>
      <c r="O22" s="233">
        <v>5711100</v>
      </c>
      <c r="P22" s="233">
        <v>5711100</v>
      </c>
      <c r="Q22" s="234">
        <v>0</v>
      </c>
      <c r="R22" s="233">
        <v>71298344</v>
      </c>
      <c r="S22" s="234">
        <v>0</v>
      </c>
      <c r="T22" s="233">
        <v>5711100</v>
      </c>
      <c r="U22" s="233">
        <v>5711100</v>
      </c>
      <c r="V22" s="233">
        <v>71298344</v>
      </c>
      <c r="W22" s="233">
        <v>5631700</v>
      </c>
      <c r="X22" s="234">
        <v>0</v>
      </c>
      <c r="Y22" s="234">
        <v>0</v>
      </c>
      <c r="Z22" s="234">
        <v>0</v>
      </c>
      <c r="AA22" s="233">
        <v>5711100</v>
      </c>
    </row>
    <row r="23" spans="1:27" ht="16.5" hidden="1" customHeight="1" x14ac:dyDescent="0.25">
      <c r="A23" s="232" t="s">
        <v>744</v>
      </c>
      <c r="B23" s="232" t="s">
        <v>587</v>
      </c>
      <c r="C23" s="232" t="s">
        <v>541</v>
      </c>
      <c r="D23" s="232" t="s">
        <v>588</v>
      </c>
      <c r="E23" s="232" t="s">
        <v>556</v>
      </c>
      <c r="F23" s="233">
        <v>103374829</v>
      </c>
      <c r="G23" s="234">
        <v>0</v>
      </c>
      <c r="H23" s="234">
        <v>0</v>
      </c>
      <c r="I23" s="234">
        <v>0</v>
      </c>
      <c r="J23" s="234">
        <v>0</v>
      </c>
      <c r="K23" s="234">
        <v>0</v>
      </c>
      <c r="L23" s="234">
        <v>0</v>
      </c>
      <c r="M23" s="233">
        <v>103374829</v>
      </c>
      <c r="N23" s="234">
        <v>0</v>
      </c>
      <c r="O23" s="234">
        <v>0</v>
      </c>
      <c r="P23" s="234">
        <v>0</v>
      </c>
      <c r="Q23" s="234">
        <v>0</v>
      </c>
      <c r="R23" s="233">
        <v>103374829</v>
      </c>
      <c r="S23" s="234">
        <v>0</v>
      </c>
      <c r="T23" s="234">
        <v>0</v>
      </c>
      <c r="U23" s="234">
        <v>0</v>
      </c>
      <c r="V23" s="233">
        <v>103374829</v>
      </c>
      <c r="W23" s="234">
        <v>0</v>
      </c>
      <c r="X23" s="234">
        <v>0</v>
      </c>
      <c r="Y23" s="234">
        <v>0</v>
      </c>
      <c r="Z23" s="234">
        <v>0</v>
      </c>
      <c r="AA23" s="234">
        <v>0</v>
      </c>
    </row>
    <row r="24" spans="1:27" ht="16.5" hidden="1" customHeight="1" x14ac:dyDescent="0.25">
      <c r="A24" s="232" t="s">
        <v>745</v>
      </c>
      <c r="B24" s="232" t="s">
        <v>590</v>
      </c>
      <c r="C24" s="232" t="s">
        <v>541</v>
      </c>
      <c r="D24" s="232" t="s">
        <v>591</v>
      </c>
      <c r="E24" s="232" t="s">
        <v>556</v>
      </c>
      <c r="F24" s="233">
        <v>43403798</v>
      </c>
      <c r="G24" s="234">
        <v>0</v>
      </c>
      <c r="H24" s="234">
        <v>0</v>
      </c>
      <c r="I24" s="234">
        <v>0</v>
      </c>
      <c r="J24" s="234">
        <v>0</v>
      </c>
      <c r="K24" s="234">
        <v>0</v>
      </c>
      <c r="L24" s="234">
        <v>0</v>
      </c>
      <c r="M24" s="233">
        <v>43403798</v>
      </c>
      <c r="N24" s="234">
        <v>0</v>
      </c>
      <c r="O24" s="233">
        <v>2860900</v>
      </c>
      <c r="P24" s="233">
        <v>2860900</v>
      </c>
      <c r="Q24" s="234">
        <v>0</v>
      </c>
      <c r="R24" s="233">
        <v>40542898</v>
      </c>
      <c r="S24" s="234">
        <v>0</v>
      </c>
      <c r="T24" s="233">
        <v>2860900</v>
      </c>
      <c r="U24" s="233">
        <v>2860900</v>
      </c>
      <c r="V24" s="233">
        <v>40542898</v>
      </c>
      <c r="W24" s="233">
        <v>2860900</v>
      </c>
      <c r="X24" s="234">
        <v>0</v>
      </c>
      <c r="Y24" s="234">
        <v>0</v>
      </c>
      <c r="Z24" s="234">
        <v>0</v>
      </c>
      <c r="AA24" s="233">
        <v>2860900</v>
      </c>
    </row>
    <row r="25" spans="1:27" ht="16.5" hidden="1" customHeight="1" x14ac:dyDescent="0.25">
      <c r="A25" s="232" t="s">
        <v>746</v>
      </c>
      <c r="B25" s="232" t="s">
        <v>593</v>
      </c>
      <c r="C25" s="232" t="s">
        <v>541</v>
      </c>
      <c r="D25" s="232" t="s">
        <v>594</v>
      </c>
      <c r="E25" s="232" t="s">
        <v>556</v>
      </c>
      <c r="F25" s="233">
        <v>5079098</v>
      </c>
      <c r="G25" s="234">
        <v>0</v>
      </c>
      <c r="H25" s="234">
        <v>0</v>
      </c>
      <c r="I25" s="234">
        <v>0</v>
      </c>
      <c r="J25" s="234">
        <v>0</v>
      </c>
      <c r="K25" s="234">
        <v>0</v>
      </c>
      <c r="L25" s="234">
        <v>0</v>
      </c>
      <c r="M25" s="233">
        <v>5079098</v>
      </c>
      <c r="N25" s="234">
        <v>0</v>
      </c>
      <c r="O25" s="233">
        <v>346600</v>
      </c>
      <c r="P25" s="233">
        <v>346600</v>
      </c>
      <c r="Q25" s="234">
        <v>0</v>
      </c>
      <c r="R25" s="233">
        <v>4732498</v>
      </c>
      <c r="S25" s="234">
        <v>0</v>
      </c>
      <c r="T25" s="233">
        <v>346600</v>
      </c>
      <c r="U25" s="233">
        <v>346600</v>
      </c>
      <c r="V25" s="233">
        <v>4732498</v>
      </c>
      <c r="W25" s="233">
        <v>346600</v>
      </c>
      <c r="X25" s="234">
        <v>0</v>
      </c>
      <c r="Y25" s="234">
        <v>0</v>
      </c>
      <c r="Z25" s="234">
        <v>0</v>
      </c>
      <c r="AA25" s="233">
        <v>346600</v>
      </c>
    </row>
    <row r="26" spans="1:27" ht="16.5" hidden="1" customHeight="1" x14ac:dyDescent="0.25">
      <c r="A26" s="232" t="s">
        <v>747</v>
      </c>
      <c r="B26" s="232" t="s">
        <v>596</v>
      </c>
      <c r="C26" s="232" t="s">
        <v>541</v>
      </c>
      <c r="D26" s="232" t="s">
        <v>597</v>
      </c>
      <c r="E26" s="232" t="s">
        <v>556</v>
      </c>
      <c r="F26" s="233">
        <v>32552848</v>
      </c>
      <c r="G26" s="234">
        <v>0</v>
      </c>
      <c r="H26" s="234">
        <v>0</v>
      </c>
      <c r="I26" s="234">
        <v>0</v>
      </c>
      <c r="J26" s="234">
        <v>0</v>
      </c>
      <c r="K26" s="234">
        <v>0</v>
      </c>
      <c r="L26" s="234">
        <v>0</v>
      </c>
      <c r="M26" s="233">
        <v>32552848</v>
      </c>
      <c r="N26" s="234">
        <v>0</v>
      </c>
      <c r="O26" s="233">
        <v>2146100</v>
      </c>
      <c r="P26" s="233">
        <v>2146100</v>
      </c>
      <c r="Q26" s="234">
        <v>0</v>
      </c>
      <c r="R26" s="233">
        <v>30406748</v>
      </c>
      <c r="S26" s="234">
        <v>0</v>
      </c>
      <c r="T26" s="233">
        <v>2146100</v>
      </c>
      <c r="U26" s="233">
        <v>2146100</v>
      </c>
      <c r="V26" s="233">
        <v>30406748</v>
      </c>
      <c r="W26" s="233">
        <v>2146100</v>
      </c>
      <c r="X26" s="234">
        <v>0</v>
      </c>
      <c r="Y26" s="234">
        <v>0</v>
      </c>
      <c r="Z26" s="234">
        <v>0</v>
      </c>
      <c r="AA26" s="233">
        <v>2146100</v>
      </c>
    </row>
    <row r="27" spans="1:27" ht="16.5" hidden="1" customHeight="1" x14ac:dyDescent="0.25">
      <c r="A27" s="232" t="s">
        <v>748</v>
      </c>
      <c r="B27" s="232" t="s">
        <v>599</v>
      </c>
      <c r="C27" s="232" t="s">
        <v>541</v>
      </c>
      <c r="D27" s="232" t="s">
        <v>600</v>
      </c>
      <c r="E27" s="232" t="s">
        <v>556</v>
      </c>
      <c r="F27" s="233">
        <v>21701899</v>
      </c>
      <c r="G27" s="234">
        <v>0</v>
      </c>
      <c r="H27" s="234">
        <v>0</v>
      </c>
      <c r="I27" s="234">
        <v>0</v>
      </c>
      <c r="J27" s="234">
        <v>0</v>
      </c>
      <c r="K27" s="234">
        <v>0</v>
      </c>
      <c r="L27" s="234">
        <v>0</v>
      </c>
      <c r="M27" s="233">
        <v>21701899</v>
      </c>
      <c r="N27" s="234">
        <v>0</v>
      </c>
      <c r="O27" s="233">
        <v>1430800</v>
      </c>
      <c r="P27" s="233">
        <v>1430800</v>
      </c>
      <c r="Q27" s="234">
        <v>0</v>
      </c>
      <c r="R27" s="233">
        <v>20271099</v>
      </c>
      <c r="S27" s="234">
        <v>0</v>
      </c>
      <c r="T27" s="233">
        <v>1430800</v>
      </c>
      <c r="U27" s="233">
        <v>1430800</v>
      </c>
      <c r="V27" s="233">
        <v>20271099</v>
      </c>
      <c r="W27" s="233">
        <v>1430800</v>
      </c>
      <c r="X27" s="234">
        <v>0</v>
      </c>
      <c r="Y27" s="234">
        <v>0</v>
      </c>
      <c r="Z27" s="234">
        <v>0</v>
      </c>
      <c r="AA27" s="233">
        <v>1430800</v>
      </c>
    </row>
    <row r="28" spans="1:27" ht="16.5" hidden="1" customHeight="1" x14ac:dyDescent="0.25">
      <c r="A28" s="232" t="s">
        <v>539</v>
      </c>
      <c r="B28" s="232" t="s">
        <v>601</v>
      </c>
      <c r="C28" s="232" t="s">
        <v>541</v>
      </c>
      <c r="D28" s="232" t="s">
        <v>602</v>
      </c>
      <c r="E28" s="232" t="s">
        <v>539</v>
      </c>
      <c r="F28" s="233">
        <v>87597143</v>
      </c>
      <c r="G28" s="234">
        <v>0</v>
      </c>
      <c r="H28" s="234">
        <v>0</v>
      </c>
      <c r="I28" s="234">
        <v>0</v>
      </c>
      <c r="J28" s="234">
        <v>0</v>
      </c>
      <c r="K28" s="234">
        <v>0</v>
      </c>
      <c r="L28" s="234">
        <v>0</v>
      </c>
      <c r="M28" s="233">
        <v>87597143</v>
      </c>
      <c r="N28" s="234">
        <v>0</v>
      </c>
      <c r="O28" s="234">
        <v>0</v>
      </c>
      <c r="P28" s="234">
        <v>0</v>
      </c>
      <c r="Q28" s="234">
        <v>0</v>
      </c>
      <c r="R28" s="233">
        <v>87597143</v>
      </c>
      <c r="S28" s="234">
        <v>0</v>
      </c>
      <c r="T28" s="234">
        <v>0</v>
      </c>
      <c r="U28" s="234">
        <v>0</v>
      </c>
      <c r="V28" s="233">
        <v>87597143</v>
      </c>
      <c r="W28" s="234">
        <v>0</v>
      </c>
      <c r="X28" s="234">
        <v>0</v>
      </c>
      <c r="Y28" s="234">
        <v>0</v>
      </c>
      <c r="Z28" s="234">
        <v>0</v>
      </c>
      <c r="AA28" s="234">
        <v>0</v>
      </c>
    </row>
    <row r="29" spans="1:27" ht="16.5" hidden="1" customHeight="1" x14ac:dyDescent="0.25">
      <c r="A29" s="232" t="s">
        <v>539</v>
      </c>
      <c r="B29" s="232" t="s">
        <v>603</v>
      </c>
      <c r="C29" s="232" t="s">
        <v>541</v>
      </c>
      <c r="D29" s="232" t="s">
        <v>564</v>
      </c>
      <c r="E29" s="232" t="s">
        <v>539</v>
      </c>
      <c r="F29" s="233">
        <v>87597143</v>
      </c>
      <c r="G29" s="234">
        <v>0</v>
      </c>
      <c r="H29" s="234">
        <v>0</v>
      </c>
      <c r="I29" s="234">
        <v>0</v>
      </c>
      <c r="J29" s="234">
        <v>0</v>
      </c>
      <c r="K29" s="234">
        <v>0</v>
      </c>
      <c r="L29" s="234">
        <v>0</v>
      </c>
      <c r="M29" s="233">
        <v>87597143</v>
      </c>
      <c r="N29" s="234">
        <v>0</v>
      </c>
      <c r="O29" s="234">
        <v>0</v>
      </c>
      <c r="P29" s="234">
        <v>0</v>
      </c>
      <c r="Q29" s="234">
        <v>0</v>
      </c>
      <c r="R29" s="233">
        <v>87597143</v>
      </c>
      <c r="S29" s="234">
        <v>0</v>
      </c>
      <c r="T29" s="234">
        <v>0</v>
      </c>
      <c r="U29" s="234">
        <v>0</v>
      </c>
      <c r="V29" s="233">
        <v>87597143</v>
      </c>
      <c r="W29" s="234">
        <v>0</v>
      </c>
      <c r="X29" s="234">
        <v>0</v>
      </c>
      <c r="Y29" s="234">
        <v>0</v>
      </c>
      <c r="Z29" s="234">
        <v>0</v>
      </c>
      <c r="AA29" s="234">
        <v>0</v>
      </c>
    </row>
    <row r="30" spans="1:27" ht="16.5" hidden="1" customHeight="1" x14ac:dyDescent="0.25">
      <c r="A30" s="232" t="s">
        <v>749</v>
      </c>
      <c r="B30" s="232" t="s">
        <v>605</v>
      </c>
      <c r="C30" s="232" t="s">
        <v>541</v>
      </c>
      <c r="D30" s="232" t="s">
        <v>606</v>
      </c>
      <c r="E30" s="232" t="s">
        <v>556</v>
      </c>
      <c r="F30" s="233">
        <v>62706489</v>
      </c>
      <c r="G30" s="234">
        <v>0</v>
      </c>
      <c r="H30" s="234">
        <v>0</v>
      </c>
      <c r="I30" s="234">
        <v>0</v>
      </c>
      <c r="J30" s="234">
        <v>0</v>
      </c>
      <c r="K30" s="234">
        <v>0</v>
      </c>
      <c r="L30" s="234">
        <v>0</v>
      </c>
      <c r="M30" s="233">
        <v>62706489</v>
      </c>
      <c r="N30" s="234">
        <v>0</v>
      </c>
      <c r="O30" s="234">
        <v>0</v>
      </c>
      <c r="P30" s="234">
        <v>0</v>
      </c>
      <c r="Q30" s="234">
        <v>0</v>
      </c>
      <c r="R30" s="233">
        <v>62706489</v>
      </c>
      <c r="S30" s="234">
        <v>0</v>
      </c>
      <c r="T30" s="234">
        <v>0</v>
      </c>
      <c r="U30" s="234">
        <v>0</v>
      </c>
      <c r="V30" s="233">
        <v>62706489</v>
      </c>
      <c r="W30" s="234">
        <v>0</v>
      </c>
      <c r="X30" s="234">
        <v>0</v>
      </c>
      <c r="Y30" s="234">
        <v>0</v>
      </c>
      <c r="Z30" s="234">
        <v>0</v>
      </c>
      <c r="AA30" s="234">
        <v>0</v>
      </c>
    </row>
    <row r="31" spans="1:27" ht="16.5" hidden="1" customHeight="1" x14ac:dyDescent="0.25">
      <c r="A31" s="232" t="s">
        <v>750</v>
      </c>
      <c r="B31" s="232" t="s">
        <v>608</v>
      </c>
      <c r="C31" s="232" t="s">
        <v>541</v>
      </c>
      <c r="D31" s="232" t="s">
        <v>609</v>
      </c>
      <c r="E31" s="232" t="s">
        <v>610</v>
      </c>
      <c r="F31" s="233">
        <v>20000000</v>
      </c>
      <c r="G31" s="234">
        <v>0</v>
      </c>
      <c r="H31" s="234">
        <v>0</v>
      </c>
      <c r="I31" s="234">
        <v>0</v>
      </c>
      <c r="J31" s="234">
        <v>0</v>
      </c>
      <c r="K31" s="234">
        <v>0</v>
      </c>
      <c r="L31" s="234">
        <v>0</v>
      </c>
      <c r="M31" s="233">
        <v>20000000</v>
      </c>
      <c r="N31" s="234">
        <v>0</v>
      </c>
      <c r="O31" s="234">
        <v>0</v>
      </c>
      <c r="P31" s="234">
        <v>0</v>
      </c>
      <c r="Q31" s="234">
        <v>0</v>
      </c>
      <c r="R31" s="233">
        <v>20000000</v>
      </c>
      <c r="S31" s="234">
        <v>0</v>
      </c>
      <c r="T31" s="234">
        <v>0</v>
      </c>
      <c r="U31" s="234">
        <v>0</v>
      </c>
      <c r="V31" s="233">
        <v>20000000</v>
      </c>
      <c r="W31" s="234">
        <v>0</v>
      </c>
      <c r="X31" s="234">
        <v>0</v>
      </c>
      <c r="Y31" s="234">
        <v>0</v>
      </c>
      <c r="Z31" s="234">
        <v>0</v>
      </c>
      <c r="AA31" s="234">
        <v>0</v>
      </c>
    </row>
    <row r="32" spans="1:27" ht="16.5" hidden="1" customHeight="1" x14ac:dyDescent="0.25">
      <c r="A32" s="232" t="s">
        <v>751</v>
      </c>
      <c r="B32" s="232" t="s">
        <v>612</v>
      </c>
      <c r="C32" s="232" t="s">
        <v>541</v>
      </c>
      <c r="D32" s="232" t="s">
        <v>613</v>
      </c>
      <c r="E32" s="232" t="s">
        <v>556</v>
      </c>
      <c r="F32" s="233">
        <v>4890654</v>
      </c>
      <c r="G32" s="234">
        <v>0</v>
      </c>
      <c r="H32" s="234">
        <v>0</v>
      </c>
      <c r="I32" s="234">
        <v>0</v>
      </c>
      <c r="J32" s="234">
        <v>0</v>
      </c>
      <c r="K32" s="234">
        <v>0</v>
      </c>
      <c r="L32" s="234">
        <v>0</v>
      </c>
      <c r="M32" s="233">
        <v>4890654</v>
      </c>
      <c r="N32" s="234">
        <v>0</v>
      </c>
      <c r="O32" s="234">
        <v>0</v>
      </c>
      <c r="P32" s="234">
        <v>0</v>
      </c>
      <c r="Q32" s="234">
        <v>0</v>
      </c>
      <c r="R32" s="233">
        <v>4890654</v>
      </c>
      <c r="S32" s="234">
        <v>0</v>
      </c>
      <c r="T32" s="234">
        <v>0</v>
      </c>
      <c r="U32" s="234">
        <v>0</v>
      </c>
      <c r="V32" s="233">
        <v>4890654</v>
      </c>
      <c r="W32" s="234">
        <v>0</v>
      </c>
      <c r="X32" s="234">
        <v>0</v>
      </c>
      <c r="Y32" s="234">
        <v>0</v>
      </c>
      <c r="Z32" s="234">
        <v>0</v>
      </c>
      <c r="AA32" s="234">
        <v>0</v>
      </c>
    </row>
    <row r="33" spans="1:27" ht="16.5" customHeight="1" x14ac:dyDescent="0.25">
      <c r="A33" s="232" t="s">
        <v>539</v>
      </c>
      <c r="B33" s="232" t="s">
        <v>614</v>
      </c>
      <c r="C33" s="232" t="s">
        <v>541</v>
      </c>
      <c r="D33" s="232" t="s">
        <v>615</v>
      </c>
      <c r="E33" s="232" t="s">
        <v>539</v>
      </c>
      <c r="F33" s="233">
        <v>953512250</v>
      </c>
      <c r="G33" s="234">
        <v>0</v>
      </c>
      <c r="H33" s="234">
        <v>0</v>
      </c>
      <c r="I33" s="234">
        <v>0</v>
      </c>
      <c r="J33" s="234">
        <v>0</v>
      </c>
      <c r="K33" s="234">
        <v>0</v>
      </c>
      <c r="L33" s="234">
        <v>0</v>
      </c>
      <c r="M33" s="233">
        <v>953512250</v>
      </c>
      <c r="N33" s="234">
        <v>0</v>
      </c>
      <c r="O33" s="233">
        <v>514375207</v>
      </c>
      <c r="P33" s="233">
        <v>514375207</v>
      </c>
      <c r="Q33" s="234">
        <v>0</v>
      </c>
      <c r="R33" s="233">
        <v>439137043</v>
      </c>
      <c r="S33" s="234">
        <v>0</v>
      </c>
      <c r="T33" s="233">
        <v>189557017</v>
      </c>
      <c r="U33" s="233">
        <v>189557017</v>
      </c>
      <c r="V33" s="233">
        <v>763955233</v>
      </c>
      <c r="W33" s="233">
        <v>3297017</v>
      </c>
      <c r="X33" s="234">
        <v>0</v>
      </c>
      <c r="Y33" s="234">
        <v>0</v>
      </c>
      <c r="Z33" s="234">
        <v>0</v>
      </c>
      <c r="AA33" s="233">
        <v>189557017</v>
      </c>
    </row>
    <row r="34" spans="1:27" ht="16.5" hidden="1" customHeight="1" x14ac:dyDescent="0.25">
      <c r="A34" s="232" t="s">
        <v>539</v>
      </c>
      <c r="B34" s="232" t="s">
        <v>752</v>
      </c>
      <c r="C34" s="232" t="s">
        <v>541</v>
      </c>
      <c r="D34" s="232" t="s">
        <v>753</v>
      </c>
      <c r="E34" s="232" t="s">
        <v>539</v>
      </c>
      <c r="F34" s="233">
        <v>32500000</v>
      </c>
      <c r="G34" s="234">
        <v>0</v>
      </c>
      <c r="H34" s="234">
        <v>0</v>
      </c>
      <c r="I34" s="234">
        <v>0</v>
      </c>
      <c r="J34" s="234">
        <v>0</v>
      </c>
      <c r="K34" s="234">
        <v>0</v>
      </c>
      <c r="L34" s="234">
        <v>0</v>
      </c>
      <c r="M34" s="233">
        <v>32500000</v>
      </c>
      <c r="N34" s="234">
        <v>0</v>
      </c>
      <c r="O34" s="234">
        <v>0</v>
      </c>
      <c r="P34" s="234">
        <v>0</v>
      </c>
      <c r="Q34" s="234">
        <v>0</v>
      </c>
      <c r="R34" s="233">
        <v>32500000</v>
      </c>
      <c r="S34" s="234">
        <v>0</v>
      </c>
      <c r="T34" s="234">
        <v>0</v>
      </c>
      <c r="U34" s="234">
        <v>0</v>
      </c>
      <c r="V34" s="233">
        <v>32500000</v>
      </c>
      <c r="W34" s="234">
        <v>0</v>
      </c>
      <c r="X34" s="234">
        <v>0</v>
      </c>
      <c r="Y34" s="234">
        <v>0</v>
      </c>
      <c r="Z34" s="234">
        <v>0</v>
      </c>
      <c r="AA34" s="234">
        <v>0</v>
      </c>
    </row>
    <row r="35" spans="1:27" ht="16.5" hidden="1" customHeight="1" x14ac:dyDescent="0.25">
      <c r="A35" s="232" t="s">
        <v>539</v>
      </c>
      <c r="B35" s="232" t="s">
        <v>754</v>
      </c>
      <c r="C35" s="232" t="s">
        <v>541</v>
      </c>
      <c r="D35" s="232" t="s">
        <v>755</v>
      </c>
      <c r="E35" s="232" t="s">
        <v>539</v>
      </c>
      <c r="F35" s="233">
        <v>32500000</v>
      </c>
      <c r="G35" s="234">
        <v>0</v>
      </c>
      <c r="H35" s="234">
        <v>0</v>
      </c>
      <c r="I35" s="234">
        <v>0</v>
      </c>
      <c r="J35" s="234">
        <v>0</v>
      </c>
      <c r="K35" s="234">
        <v>0</v>
      </c>
      <c r="L35" s="234">
        <v>0</v>
      </c>
      <c r="M35" s="233">
        <v>32500000</v>
      </c>
      <c r="N35" s="234">
        <v>0</v>
      </c>
      <c r="O35" s="234">
        <v>0</v>
      </c>
      <c r="P35" s="234">
        <v>0</v>
      </c>
      <c r="Q35" s="234">
        <v>0</v>
      </c>
      <c r="R35" s="233">
        <v>32500000</v>
      </c>
      <c r="S35" s="234">
        <v>0</v>
      </c>
      <c r="T35" s="234">
        <v>0</v>
      </c>
      <c r="U35" s="234">
        <v>0</v>
      </c>
      <c r="V35" s="233">
        <v>32500000</v>
      </c>
      <c r="W35" s="234">
        <v>0</v>
      </c>
      <c r="X35" s="234">
        <v>0</v>
      </c>
      <c r="Y35" s="234">
        <v>0</v>
      </c>
      <c r="Z35" s="234">
        <v>0</v>
      </c>
      <c r="AA35" s="234">
        <v>0</v>
      </c>
    </row>
    <row r="36" spans="1:27" ht="16.5" hidden="1" customHeight="1" x14ac:dyDescent="0.25">
      <c r="A36" s="232" t="s">
        <v>539</v>
      </c>
      <c r="B36" s="232" t="s">
        <v>756</v>
      </c>
      <c r="C36" s="232" t="s">
        <v>541</v>
      </c>
      <c r="D36" s="232" t="s">
        <v>757</v>
      </c>
      <c r="E36" s="232" t="s">
        <v>539</v>
      </c>
      <c r="F36" s="233">
        <v>32500000</v>
      </c>
      <c r="G36" s="234">
        <v>0</v>
      </c>
      <c r="H36" s="234">
        <v>0</v>
      </c>
      <c r="I36" s="234">
        <v>0</v>
      </c>
      <c r="J36" s="234">
        <v>0</v>
      </c>
      <c r="K36" s="234">
        <v>0</v>
      </c>
      <c r="L36" s="234">
        <v>0</v>
      </c>
      <c r="M36" s="233">
        <v>32500000</v>
      </c>
      <c r="N36" s="234">
        <v>0</v>
      </c>
      <c r="O36" s="234">
        <v>0</v>
      </c>
      <c r="P36" s="234">
        <v>0</v>
      </c>
      <c r="Q36" s="234">
        <v>0</v>
      </c>
      <c r="R36" s="233">
        <v>32500000</v>
      </c>
      <c r="S36" s="234">
        <v>0</v>
      </c>
      <c r="T36" s="234">
        <v>0</v>
      </c>
      <c r="U36" s="234">
        <v>0</v>
      </c>
      <c r="V36" s="233">
        <v>32500000</v>
      </c>
      <c r="W36" s="234">
        <v>0</v>
      </c>
      <c r="X36" s="234">
        <v>0</v>
      </c>
      <c r="Y36" s="234">
        <v>0</v>
      </c>
      <c r="Z36" s="234">
        <v>0</v>
      </c>
      <c r="AA36" s="234">
        <v>0</v>
      </c>
    </row>
    <row r="37" spans="1:27" ht="16.5" hidden="1" customHeight="1" x14ac:dyDescent="0.25">
      <c r="A37" s="232" t="s">
        <v>539</v>
      </c>
      <c r="B37" s="232" t="s">
        <v>758</v>
      </c>
      <c r="C37" s="232" t="s">
        <v>541</v>
      </c>
      <c r="D37" s="232" t="s">
        <v>759</v>
      </c>
      <c r="E37" s="232" t="s">
        <v>539</v>
      </c>
      <c r="F37" s="233">
        <v>32500000</v>
      </c>
      <c r="G37" s="234">
        <v>0</v>
      </c>
      <c r="H37" s="234">
        <v>0</v>
      </c>
      <c r="I37" s="234">
        <v>0</v>
      </c>
      <c r="J37" s="234">
        <v>0</v>
      </c>
      <c r="K37" s="234">
        <v>0</v>
      </c>
      <c r="L37" s="234">
        <v>0</v>
      </c>
      <c r="M37" s="233">
        <v>32500000</v>
      </c>
      <c r="N37" s="234">
        <v>0</v>
      </c>
      <c r="O37" s="234">
        <v>0</v>
      </c>
      <c r="P37" s="234">
        <v>0</v>
      </c>
      <c r="Q37" s="234">
        <v>0</v>
      </c>
      <c r="R37" s="233">
        <v>32500000</v>
      </c>
      <c r="S37" s="234">
        <v>0</v>
      </c>
      <c r="T37" s="234">
        <v>0</v>
      </c>
      <c r="U37" s="234">
        <v>0</v>
      </c>
      <c r="V37" s="233">
        <v>32500000</v>
      </c>
      <c r="W37" s="234">
        <v>0</v>
      </c>
      <c r="X37" s="234">
        <v>0</v>
      </c>
      <c r="Y37" s="234">
        <v>0</v>
      </c>
      <c r="Z37" s="234">
        <v>0</v>
      </c>
      <c r="AA37" s="234">
        <v>0</v>
      </c>
    </row>
    <row r="38" spans="1:27" ht="16.5" hidden="1" customHeight="1" x14ac:dyDescent="0.25">
      <c r="A38" s="232" t="s">
        <v>539</v>
      </c>
      <c r="B38" s="232" t="s">
        <v>760</v>
      </c>
      <c r="C38" s="232" t="s">
        <v>541</v>
      </c>
      <c r="D38" s="232" t="s">
        <v>761</v>
      </c>
      <c r="E38" s="232" t="s">
        <v>539</v>
      </c>
      <c r="F38" s="233">
        <v>32500000</v>
      </c>
      <c r="G38" s="234">
        <v>0</v>
      </c>
      <c r="H38" s="234">
        <v>0</v>
      </c>
      <c r="I38" s="234">
        <v>0</v>
      </c>
      <c r="J38" s="234">
        <v>0</v>
      </c>
      <c r="K38" s="234">
        <v>0</v>
      </c>
      <c r="L38" s="234">
        <v>0</v>
      </c>
      <c r="M38" s="233">
        <v>32500000</v>
      </c>
      <c r="N38" s="234">
        <v>0</v>
      </c>
      <c r="O38" s="234">
        <v>0</v>
      </c>
      <c r="P38" s="234">
        <v>0</v>
      </c>
      <c r="Q38" s="234">
        <v>0</v>
      </c>
      <c r="R38" s="233">
        <v>32500000</v>
      </c>
      <c r="S38" s="234">
        <v>0</v>
      </c>
      <c r="T38" s="234">
        <v>0</v>
      </c>
      <c r="U38" s="234">
        <v>0</v>
      </c>
      <c r="V38" s="233">
        <v>32500000</v>
      </c>
      <c r="W38" s="234">
        <v>0</v>
      </c>
      <c r="X38" s="234">
        <v>0</v>
      </c>
      <c r="Y38" s="234">
        <v>0</v>
      </c>
      <c r="Z38" s="234">
        <v>0</v>
      </c>
      <c r="AA38" s="234">
        <v>0</v>
      </c>
    </row>
    <row r="39" spans="1:27" ht="16.5" hidden="1" customHeight="1" x14ac:dyDescent="0.25">
      <c r="A39" s="232" t="s">
        <v>539</v>
      </c>
      <c r="B39" s="232" t="s">
        <v>762</v>
      </c>
      <c r="C39" s="232" t="s">
        <v>541</v>
      </c>
      <c r="D39" s="232" t="s">
        <v>763</v>
      </c>
      <c r="E39" s="232" t="s">
        <v>539</v>
      </c>
      <c r="F39" s="233">
        <v>32500000</v>
      </c>
      <c r="G39" s="234">
        <v>0</v>
      </c>
      <c r="H39" s="234">
        <v>0</v>
      </c>
      <c r="I39" s="234">
        <v>0</v>
      </c>
      <c r="J39" s="234">
        <v>0</v>
      </c>
      <c r="K39" s="234">
        <v>0</v>
      </c>
      <c r="L39" s="234">
        <v>0</v>
      </c>
      <c r="M39" s="233">
        <v>32500000</v>
      </c>
      <c r="N39" s="234">
        <v>0</v>
      </c>
      <c r="O39" s="234">
        <v>0</v>
      </c>
      <c r="P39" s="234">
        <v>0</v>
      </c>
      <c r="Q39" s="234">
        <v>0</v>
      </c>
      <c r="R39" s="233">
        <v>32500000</v>
      </c>
      <c r="S39" s="234">
        <v>0</v>
      </c>
      <c r="T39" s="234">
        <v>0</v>
      </c>
      <c r="U39" s="234">
        <v>0</v>
      </c>
      <c r="V39" s="233">
        <v>32500000</v>
      </c>
      <c r="W39" s="234">
        <v>0</v>
      </c>
      <c r="X39" s="234">
        <v>0</v>
      </c>
      <c r="Y39" s="234">
        <v>0</v>
      </c>
      <c r="Z39" s="234">
        <v>0</v>
      </c>
      <c r="AA39" s="234">
        <v>0</v>
      </c>
    </row>
    <row r="40" spans="1:27" ht="16.5" hidden="1" customHeight="1" x14ac:dyDescent="0.25">
      <c r="A40" s="232" t="s">
        <v>764</v>
      </c>
      <c r="B40" s="232" t="s">
        <v>765</v>
      </c>
      <c r="C40" s="232" t="s">
        <v>541</v>
      </c>
      <c r="D40" s="232" t="s">
        <v>766</v>
      </c>
      <c r="E40" s="232" t="s">
        <v>556</v>
      </c>
      <c r="F40" s="233">
        <v>32500000</v>
      </c>
      <c r="G40" s="234">
        <v>0</v>
      </c>
      <c r="H40" s="234">
        <v>0</v>
      </c>
      <c r="I40" s="234">
        <v>0</v>
      </c>
      <c r="J40" s="234">
        <v>0</v>
      </c>
      <c r="K40" s="234">
        <v>0</v>
      </c>
      <c r="L40" s="234">
        <v>0</v>
      </c>
      <c r="M40" s="233">
        <v>32500000</v>
      </c>
      <c r="N40" s="234">
        <v>0</v>
      </c>
      <c r="O40" s="234">
        <v>0</v>
      </c>
      <c r="P40" s="234">
        <v>0</v>
      </c>
      <c r="Q40" s="234">
        <v>0</v>
      </c>
      <c r="R40" s="233">
        <v>32500000</v>
      </c>
      <c r="S40" s="234">
        <v>0</v>
      </c>
      <c r="T40" s="234">
        <v>0</v>
      </c>
      <c r="U40" s="234">
        <v>0</v>
      </c>
      <c r="V40" s="233">
        <v>32500000</v>
      </c>
      <c r="W40" s="234">
        <v>0</v>
      </c>
      <c r="X40" s="234">
        <v>0</v>
      </c>
      <c r="Y40" s="234">
        <v>0</v>
      </c>
      <c r="Z40" s="234">
        <v>0</v>
      </c>
      <c r="AA40" s="234">
        <v>0</v>
      </c>
    </row>
    <row r="41" spans="1:27" ht="16.5" hidden="1" customHeight="1" x14ac:dyDescent="0.25">
      <c r="A41" s="232" t="s">
        <v>539</v>
      </c>
      <c r="B41" s="232" t="s">
        <v>616</v>
      </c>
      <c r="C41" s="232" t="s">
        <v>541</v>
      </c>
      <c r="D41" s="232" t="s">
        <v>617</v>
      </c>
      <c r="E41" s="232" t="s">
        <v>539</v>
      </c>
      <c r="F41" s="233">
        <v>921012250</v>
      </c>
      <c r="G41" s="234">
        <v>0</v>
      </c>
      <c r="H41" s="234">
        <v>0</v>
      </c>
      <c r="I41" s="234">
        <v>0</v>
      </c>
      <c r="J41" s="234">
        <v>0</v>
      </c>
      <c r="K41" s="234">
        <v>0</v>
      </c>
      <c r="L41" s="234">
        <v>0</v>
      </c>
      <c r="M41" s="233">
        <v>921012250</v>
      </c>
      <c r="N41" s="234">
        <v>0</v>
      </c>
      <c r="O41" s="233">
        <v>514375207</v>
      </c>
      <c r="P41" s="233">
        <v>514375207</v>
      </c>
      <c r="Q41" s="234">
        <v>0</v>
      </c>
      <c r="R41" s="233">
        <v>406637043</v>
      </c>
      <c r="S41" s="234">
        <v>0</v>
      </c>
      <c r="T41" s="233">
        <v>189557017</v>
      </c>
      <c r="U41" s="233">
        <v>189557017</v>
      </c>
      <c r="V41" s="233">
        <v>731455233</v>
      </c>
      <c r="W41" s="233">
        <v>3297017</v>
      </c>
      <c r="X41" s="234">
        <v>0</v>
      </c>
      <c r="Y41" s="234">
        <v>0</v>
      </c>
      <c r="Z41" s="234">
        <v>0</v>
      </c>
      <c r="AA41" s="233">
        <v>189557017</v>
      </c>
    </row>
    <row r="42" spans="1:27" ht="16.5" hidden="1" customHeight="1" x14ac:dyDescent="0.25">
      <c r="A42" s="232" t="s">
        <v>539</v>
      </c>
      <c r="B42" s="232" t="s">
        <v>618</v>
      </c>
      <c r="C42" s="232" t="s">
        <v>541</v>
      </c>
      <c r="D42" s="232" t="s">
        <v>619</v>
      </c>
      <c r="E42" s="232" t="s">
        <v>539</v>
      </c>
      <c r="F42" s="233">
        <v>46032000</v>
      </c>
      <c r="G42" s="234">
        <v>0</v>
      </c>
      <c r="H42" s="234">
        <v>0</v>
      </c>
      <c r="I42" s="234">
        <v>0</v>
      </c>
      <c r="J42" s="234">
        <v>0</v>
      </c>
      <c r="K42" s="234">
        <v>0</v>
      </c>
      <c r="L42" s="234">
        <v>0</v>
      </c>
      <c r="M42" s="233">
        <v>46032000</v>
      </c>
      <c r="N42" s="234">
        <v>0</v>
      </c>
      <c r="O42" s="233">
        <v>4176000</v>
      </c>
      <c r="P42" s="233">
        <v>4176000</v>
      </c>
      <c r="Q42" s="234">
        <v>0</v>
      </c>
      <c r="R42" s="233">
        <v>41856000</v>
      </c>
      <c r="S42" s="234">
        <v>0</v>
      </c>
      <c r="T42" s="233">
        <v>4176000</v>
      </c>
      <c r="U42" s="233">
        <v>4176000</v>
      </c>
      <c r="V42" s="233">
        <v>41856000</v>
      </c>
      <c r="W42" s="233">
        <v>522000</v>
      </c>
      <c r="X42" s="234">
        <v>0</v>
      </c>
      <c r="Y42" s="234">
        <v>0</v>
      </c>
      <c r="Z42" s="234">
        <v>0</v>
      </c>
      <c r="AA42" s="233">
        <v>4176000</v>
      </c>
    </row>
    <row r="43" spans="1:27" ht="16.5" hidden="1" customHeight="1" x14ac:dyDescent="0.25">
      <c r="A43" s="232" t="s">
        <v>767</v>
      </c>
      <c r="B43" s="232" t="s">
        <v>624</v>
      </c>
      <c r="C43" s="232" t="s">
        <v>541</v>
      </c>
      <c r="D43" s="232" t="s">
        <v>625</v>
      </c>
      <c r="E43" s="232" t="s">
        <v>556</v>
      </c>
      <c r="F43" s="233">
        <v>46032000</v>
      </c>
      <c r="G43" s="234">
        <v>0</v>
      </c>
      <c r="H43" s="234">
        <v>0</v>
      </c>
      <c r="I43" s="234">
        <v>0</v>
      </c>
      <c r="J43" s="234">
        <v>0</v>
      </c>
      <c r="K43" s="234">
        <v>0</v>
      </c>
      <c r="L43" s="234">
        <v>0</v>
      </c>
      <c r="M43" s="233">
        <v>46032000</v>
      </c>
      <c r="N43" s="234">
        <v>0</v>
      </c>
      <c r="O43" s="233">
        <v>4176000</v>
      </c>
      <c r="P43" s="233">
        <v>4176000</v>
      </c>
      <c r="Q43" s="234">
        <v>0</v>
      </c>
      <c r="R43" s="233">
        <v>41856000</v>
      </c>
      <c r="S43" s="234">
        <v>0</v>
      </c>
      <c r="T43" s="233">
        <v>4176000</v>
      </c>
      <c r="U43" s="233">
        <v>4176000</v>
      </c>
      <c r="V43" s="233">
        <v>41856000</v>
      </c>
      <c r="W43" s="233">
        <v>522000</v>
      </c>
      <c r="X43" s="234">
        <v>0</v>
      </c>
      <c r="Y43" s="234">
        <v>0</v>
      </c>
      <c r="Z43" s="234">
        <v>0</v>
      </c>
      <c r="AA43" s="233">
        <v>4176000</v>
      </c>
    </row>
    <row r="44" spans="1:27" ht="16.5" hidden="1" customHeight="1" x14ac:dyDescent="0.25">
      <c r="A44" s="232" t="s">
        <v>539</v>
      </c>
      <c r="B44" s="232" t="s">
        <v>629</v>
      </c>
      <c r="C44" s="232" t="s">
        <v>541</v>
      </c>
      <c r="D44" s="232" t="s">
        <v>630</v>
      </c>
      <c r="E44" s="232" t="s">
        <v>539</v>
      </c>
      <c r="F44" s="233">
        <v>874980250</v>
      </c>
      <c r="G44" s="234">
        <v>0</v>
      </c>
      <c r="H44" s="234">
        <v>0</v>
      </c>
      <c r="I44" s="234">
        <v>0</v>
      </c>
      <c r="J44" s="234">
        <v>0</v>
      </c>
      <c r="K44" s="234">
        <v>0</v>
      </c>
      <c r="L44" s="234">
        <v>0</v>
      </c>
      <c r="M44" s="233">
        <v>874980250</v>
      </c>
      <c r="N44" s="234">
        <v>0</v>
      </c>
      <c r="O44" s="233">
        <v>510199207</v>
      </c>
      <c r="P44" s="233">
        <v>510199207</v>
      </c>
      <c r="Q44" s="234">
        <v>0</v>
      </c>
      <c r="R44" s="233">
        <v>364781043</v>
      </c>
      <c r="S44" s="234">
        <v>0</v>
      </c>
      <c r="T44" s="233">
        <v>185381017</v>
      </c>
      <c r="U44" s="233">
        <v>185381017</v>
      </c>
      <c r="V44" s="233">
        <v>689599233</v>
      </c>
      <c r="W44" s="233">
        <v>2775017</v>
      </c>
      <c r="X44" s="234">
        <v>0</v>
      </c>
      <c r="Y44" s="234">
        <v>0</v>
      </c>
      <c r="Z44" s="234">
        <v>0</v>
      </c>
      <c r="AA44" s="233">
        <v>185381017</v>
      </c>
    </row>
    <row r="45" spans="1:27" ht="16.5" hidden="1" customHeight="1" x14ac:dyDescent="0.25">
      <c r="A45" s="232" t="s">
        <v>539</v>
      </c>
      <c r="B45" s="232" t="s">
        <v>632</v>
      </c>
      <c r="C45" s="232" t="s">
        <v>541</v>
      </c>
      <c r="D45" s="232" t="s">
        <v>633</v>
      </c>
      <c r="E45" s="232" t="s">
        <v>539</v>
      </c>
      <c r="F45" s="233">
        <v>33288000</v>
      </c>
      <c r="G45" s="234">
        <v>0</v>
      </c>
      <c r="H45" s="234">
        <v>0</v>
      </c>
      <c r="I45" s="234">
        <v>0</v>
      </c>
      <c r="J45" s="234">
        <v>0</v>
      </c>
      <c r="K45" s="234">
        <v>0</v>
      </c>
      <c r="L45" s="234">
        <v>0</v>
      </c>
      <c r="M45" s="233">
        <v>33288000</v>
      </c>
      <c r="N45" s="234">
        <v>0</v>
      </c>
      <c r="O45" s="233">
        <v>2784000</v>
      </c>
      <c r="P45" s="233">
        <v>2784000</v>
      </c>
      <c r="Q45" s="234">
        <v>0</v>
      </c>
      <c r="R45" s="233">
        <v>30504000</v>
      </c>
      <c r="S45" s="234">
        <v>0</v>
      </c>
      <c r="T45" s="233">
        <v>2784000</v>
      </c>
      <c r="U45" s="233">
        <v>2784000</v>
      </c>
      <c r="V45" s="233">
        <v>30504000</v>
      </c>
      <c r="W45" s="233">
        <v>348000</v>
      </c>
      <c r="X45" s="234">
        <v>0</v>
      </c>
      <c r="Y45" s="234">
        <v>0</v>
      </c>
      <c r="Z45" s="234">
        <v>0</v>
      </c>
      <c r="AA45" s="233">
        <v>2784000</v>
      </c>
    </row>
    <row r="46" spans="1:27" ht="16.5" hidden="1" customHeight="1" x14ac:dyDescent="0.25">
      <c r="A46" s="232" t="s">
        <v>768</v>
      </c>
      <c r="B46" s="232" t="s">
        <v>769</v>
      </c>
      <c r="C46" s="232" t="s">
        <v>541</v>
      </c>
      <c r="D46" s="232" t="s">
        <v>633</v>
      </c>
      <c r="E46" s="232" t="s">
        <v>556</v>
      </c>
      <c r="F46" s="233">
        <v>10188000</v>
      </c>
      <c r="G46" s="234">
        <v>0</v>
      </c>
      <c r="H46" s="234">
        <v>0</v>
      </c>
      <c r="I46" s="234">
        <v>0</v>
      </c>
      <c r="J46" s="234">
        <v>0</v>
      </c>
      <c r="K46" s="234">
        <v>0</v>
      </c>
      <c r="L46" s="234">
        <v>0</v>
      </c>
      <c r="M46" s="233">
        <v>10188000</v>
      </c>
      <c r="N46" s="234">
        <v>0</v>
      </c>
      <c r="O46" s="233">
        <v>2784000</v>
      </c>
      <c r="P46" s="233">
        <v>2784000</v>
      </c>
      <c r="Q46" s="234">
        <v>0</v>
      </c>
      <c r="R46" s="233">
        <v>7404000</v>
      </c>
      <c r="S46" s="234">
        <v>0</v>
      </c>
      <c r="T46" s="233">
        <v>2784000</v>
      </c>
      <c r="U46" s="233">
        <v>2784000</v>
      </c>
      <c r="V46" s="233">
        <v>7404000</v>
      </c>
      <c r="W46" s="233">
        <v>348000</v>
      </c>
      <c r="X46" s="234">
        <v>0</v>
      </c>
      <c r="Y46" s="234">
        <v>0</v>
      </c>
      <c r="Z46" s="234">
        <v>0</v>
      </c>
      <c r="AA46" s="233">
        <v>2784000</v>
      </c>
    </row>
    <row r="47" spans="1:27" ht="16.5" hidden="1" customHeight="1" x14ac:dyDescent="0.25">
      <c r="A47" s="232" t="s">
        <v>770</v>
      </c>
      <c r="B47" s="232" t="s">
        <v>771</v>
      </c>
      <c r="C47" s="232" t="s">
        <v>541</v>
      </c>
      <c r="D47" s="232" t="s">
        <v>772</v>
      </c>
      <c r="E47" s="232" t="s">
        <v>556</v>
      </c>
      <c r="F47" s="233">
        <v>23100000</v>
      </c>
      <c r="G47" s="234">
        <v>0</v>
      </c>
      <c r="H47" s="234">
        <v>0</v>
      </c>
      <c r="I47" s="234">
        <v>0</v>
      </c>
      <c r="J47" s="234">
        <v>0</v>
      </c>
      <c r="K47" s="234">
        <v>0</v>
      </c>
      <c r="L47" s="234">
        <v>0</v>
      </c>
      <c r="M47" s="233">
        <v>23100000</v>
      </c>
      <c r="N47" s="234">
        <v>0</v>
      </c>
      <c r="O47" s="234">
        <v>0</v>
      </c>
      <c r="P47" s="234">
        <v>0</v>
      </c>
      <c r="Q47" s="234">
        <v>0</v>
      </c>
      <c r="R47" s="233">
        <v>23100000</v>
      </c>
      <c r="S47" s="234">
        <v>0</v>
      </c>
      <c r="T47" s="234">
        <v>0</v>
      </c>
      <c r="U47" s="234">
        <v>0</v>
      </c>
      <c r="V47" s="233">
        <v>23100000</v>
      </c>
      <c r="W47" s="234">
        <v>0</v>
      </c>
      <c r="X47" s="234">
        <v>0</v>
      </c>
      <c r="Y47" s="234">
        <v>0</v>
      </c>
      <c r="Z47" s="234">
        <v>0</v>
      </c>
      <c r="AA47" s="234">
        <v>0</v>
      </c>
    </row>
    <row r="48" spans="1:27" ht="16.5" hidden="1" customHeight="1" x14ac:dyDescent="0.25">
      <c r="A48" s="232" t="s">
        <v>539</v>
      </c>
      <c r="B48" s="232" t="s">
        <v>635</v>
      </c>
      <c r="C48" s="232" t="s">
        <v>541</v>
      </c>
      <c r="D48" s="232" t="s">
        <v>636</v>
      </c>
      <c r="E48" s="232" t="s">
        <v>539</v>
      </c>
      <c r="F48" s="233">
        <v>348039290</v>
      </c>
      <c r="G48" s="234">
        <v>0</v>
      </c>
      <c r="H48" s="234">
        <v>0</v>
      </c>
      <c r="I48" s="234">
        <v>0</v>
      </c>
      <c r="J48" s="234">
        <v>0</v>
      </c>
      <c r="K48" s="234">
        <v>0</v>
      </c>
      <c r="L48" s="234">
        <v>0</v>
      </c>
      <c r="M48" s="233">
        <v>348039290</v>
      </c>
      <c r="N48" s="234">
        <v>0</v>
      </c>
      <c r="O48" s="233">
        <v>324818190</v>
      </c>
      <c r="P48" s="233">
        <v>324818190</v>
      </c>
      <c r="Q48" s="234">
        <v>0</v>
      </c>
      <c r="R48" s="233">
        <v>23221100</v>
      </c>
      <c r="S48" s="234">
        <v>0</v>
      </c>
      <c r="T48" s="234">
        <v>0</v>
      </c>
      <c r="U48" s="234">
        <v>0</v>
      </c>
      <c r="V48" s="233">
        <v>348039290</v>
      </c>
      <c r="W48" s="234">
        <v>0</v>
      </c>
      <c r="X48" s="234">
        <v>0</v>
      </c>
      <c r="Y48" s="234">
        <v>0</v>
      </c>
      <c r="Z48" s="234">
        <v>0</v>
      </c>
      <c r="AA48" s="234">
        <v>0</v>
      </c>
    </row>
    <row r="49" spans="1:27" ht="16.5" hidden="1" customHeight="1" x14ac:dyDescent="0.25">
      <c r="A49" s="232" t="s">
        <v>773</v>
      </c>
      <c r="B49" s="232" t="s">
        <v>774</v>
      </c>
      <c r="C49" s="232" t="s">
        <v>541</v>
      </c>
      <c r="D49" s="232" t="s">
        <v>775</v>
      </c>
      <c r="E49" s="232" t="s">
        <v>556</v>
      </c>
      <c r="F49" s="233">
        <v>300062900</v>
      </c>
      <c r="G49" s="234">
        <v>0</v>
      </c>
      <c r="H49" s="234">
        <v>0</v>
      </c>
      <c r="I49" s="234">
        <v>0</v>
      </c>
      <c r="J49" s="234">
        <v>0</v>
      </c>
      <c r="K49" s="234">
        <v>0</v>
      </c>
      <c r="L49" s="234">
        <v>0</v>
      </c>
      <c r="M49" s="233">
        <v>300062900</v>
      </c>
      <c r="N49" s="234">
        <v>0</v>
      </c>
      <c r="O49" s="233">
        <v>300062900</v>
      </c>
      <c r="P49" s="233">
        <v>300062900</v>
      </c>
      <c r="Q49" s="234">
        <v>0</v>
      </c>
      <c r="R49" s="234">
        <v>0</v>
      </c>
      <c r="S49" s="234">
        <v>0</v>
      </c>
      <c r="T49" s="234">
        <v>0</v>
      </c>
      <c r="U49" s="234">
        <v>0</v>
      </c>
      <c r="V49" s="233">
        <v>300062900</v>
      </c>
      <c r="W49" s="234">
        <v>0</v>
      </c>
      <c r="X49" s="234">
        <v>0</v>
      </c>
      <c r="Y49" s="234">
        <v>0</v>
      </c>
      <c r="Z49" s="234">
        <v>0</v>
      </c>
      <c r="AA49" s="234">
        <v>0</v>
      </c>
    </row>
    <row r="50" spans="1:27" ht="16.5" hidden="1" customHeight="1" x14ac:dyDescent="0.25">
      <c r="A50" s="232" t="s">
        <v>776</v>
      </c>
      <c r="B50" s="232" t="s">
        <v>777</v>
      </c>
      <c r="C50" s="232" t="s">
        <v>541</v>
      </c>
      <c r="D50" s="232" t="s">
        <v>636</v>
      </c>
      <c r="E50" s="232" t="s">
        <v>556</v>
      </c>
      <c r="F50" s="233">
        <v>47976390</v>
      </c>
      <c r="G50" s="234">
        <v>0</v>
      </c>
      <c r="H50" s="234">
        <v>0</v>
      </c>
      <c r="I50" s="234">
        <v>0</v>
      </c>
      <c r="J50" s="234">
        <v>0</v>
      </c>
      <c r="K50" s="234">
        <v>0</v>
      </c>
      <c r="L50" s="234">
        <v>0</v>
      </c>
      <c r="M50" s="233">
        <v>47976390</v>
      </c>
      <c r="N50" s="234">
        <v>0</v>
      </c>
      <c r="O50" s="233">
        <v>24755290</v>
      </c>
      <c r="P50" s="233">
        <v>24755290</v>
      </c>
      <c r="Q50" s="234">
        <v>0</v>
      </c>
      <c r="R50" s="233">
        <v>23221100</v>
      </c>
      <c r="S50" s="234">
        <v>0</v>
      </c>
      <c r="T50" s="234">
        <v>0</v>
      </c>
      <c r="U50" s="234">
        <v>0</v>
      </c>
      <c r="V50" s="233">
        <v>47976390</v>
      </c>
      <c r="W50" s="234">
        <v>0</v>
      </c>
      <c r="X50" s="234">
        <v>0</v>
      </c>
      <c r="Y50" s="234">
        <v>0</v>
      </c>
      <c r="Z50" s="234">
        <v>0</v>
      </c>
      <c r="AA50" s="234">
        <v>0</v>
      </c>
    </row>
    <row r="51" spans="1:27" ht="16.5" hidden="1" customHeight="1" x14ac:dyDescent="0.25">
      <c r="A51" s="232" t="s">
        <v>778</v>
      </c>
      <c r="B51" s="232" t="s">
        <v>638</v>
      </c>
      <c r="C51" s="232" t="s">
        <v>541</v>
      </c>
      <c r="D51" s="232" t="s">
        <v>639</v>
      </c>
      <c r="E51" s="232" t="s">
        <v>556</v>
      </c>
      <c r="F51" s="233">
        <v>128071960</v>
      </c>
      <c r="G51" s="234">
        <v>0</v>
      </c>
      <c r="H51" s="234">
        <v>0</v>
      </c>
      <c r="I51" s="234">
        <v>0</v>
      </c>
      <c r="J51" s="234">
        <v>0</v>
      </c>
      <c r="K51" s="234">
        <v>0</v>
      </c>
      <c r="L51" s="234">
        <v>0</v>
      </c>
      <c r="M51" s="233">
        <v>128071960</v>
      </c>
      <c r="N51" s="234">
        <v>0</v>
      </c>
      <c r="O51" s="233">
        <v>7361950</v>
      </c>
      <c r="P51" s="233">
        <v>7361950</v>
      </c>
      <c r="Q51" s="234">
        <v>0</v>
      </c>
      <c r="R51" s="233">
        <v>120710010</v>
      </c>
      <c r="S51" s="234">
        <v>0</v>
      </c>
      <c r="T51" s="233">
        <v>7361950</v>
      </c>
      <c r="U51" s="233">
        <v>7361950</v>
      </c>
      <c r="V51" s="233">
        <v>120710010</v>
      </c>
      <c r="W51" s="233">
        <v>1271950</v>
      </c>
      <c r="X51" s="234">
        <v>0</v>
      </c>
      <c r="Y51" s="234">
        <v>0</v>
      </c>
      <c r="Z51" s="234">
        <v>0</v>
      </c>
      <c r="AA51" s="233">
        <v>7361950</v>
      </c>
    </row>
    <row r="52" spans="1:27" ht="16.5" hidden="1" customHeight="1" x14ac:dyDescent="0.25">
      <c r="A52" s="232" t="s">
        <v>539</v>
      </c>
      <c r="B52" s="232" t="s">
        <v>641</v>
      </c>
      <c r="C52" s="232" t="s">
        <v>541</v>
      </c>
      <c r="D52" s="232" t="s">
        <v>642</v>
      </c>
      <c r="E52" s="232" t="s">
        <v>539</v>
      </c>
      <c r="F52" s="233">
        <v>358081000</v>
      </c>
      <c r="G52" s="234">
        <v>0</v>
      </c>
      <c r="H52" s="234">
        <v>0</v>
      </c>
      <c r="I52" s="234">
        <v>0</v>
      </c>
      <c r="J52" s="234">
        <v>0</v>
      </c>
      <c r="K52" s="234">
        <v>0</v>
      </c>
      <c r="L52" s="234">
        <v>0</v>
      </c>
      <c r="M52" s="233">
        <v>358081000</v>
      </c>
      <c r="N52" s="234">
        <v>0</v>
      </c>
      <c r="O52" s="233">
        <v>174080000</v>
      </c>
      <c r="P52" s="233">
        <v>174080000</v>
      </c>
      <c r="Q52" s="234">
        <v>0</v>
      </c>
      <c r="R52" s="233">
        <v>184001000</v>
      </c>
      <c r="S52" s="234">
        <v>0</v>
      </c>
      <c r="T52" s="233">
        <v>174080000</v>
      </c>
      <c r="U52" s="233">
        <v>174080000</v>
      </c>
      <c r="V52" s="233">
        <v>184001000</v>
      </c>
      <c r="W52" s="234">
        <v>0</v>
      </c>
      <c r="X52" s="234">
        <v>0</v>
      </c>
      <c r="Y52" s="234">
        <v>0</v>
      </c>
      <c r="Z52" s="234">
        <v>0</v>
      </c>
      <c r="AA52" s="233">
        <v>174080000</v>
      </c>
    </row>
    <row r="53" spans="1:27" ht="16.5" hidden="1" customHeight="1" x14ac:dyDescent="0.25">
      <c r="A53" s="232" t="s">
        <v>779</v>
      </c>
      <c r="B53" s="232" t="s">
        <v>780</v>
      </c>
      <c r="C53" s="232" t="s">
        <v>541</v>
      </c>
      <c r="D53" s="232" t="s">
        <v>642</v>
      </c>
      <c r="E53" s="232" t="s">
        <v>556</v>
      </c>
      <c r="F53" s="233">
        <v>284008943</v>
      </c>
      <c r="G53" s="234">
        <v>0</v>
      </c>
      <c r="H53" s="234">
        <v>0</v>
      </c>
      <c r="I53" s="234">
        <v>0</v>
      </c>
      <c r="J53" s="234">
        <v>0</v>
      </c>
      <c r="K53" s="234">
        <v>0</v>
      </c>
      <c r="L53" s="234">
        <v>0</v>
      </c>
      <c r="M53" s="233">
        <v>284008943</v>
      </c>
      <c r="N53" s="234">
        <v>0</v>
      </c>
      <c r="O53" s="233">
        <v>174080000</v>
      </c>
      <c r="P53" s="233">
        <v>174080000</v>
      </c>
      <c r="Q53" s="234">
        <v>0</v>
      </c>
      <c r="R53" s="233">
        <v>109928943</v>
      </c>
      <c r="S53" s="234">
        <v>0</v>
      </c>
      <c r="T53" s="233">
        <v>174080000</v>
      </c>
      <c r="U53" s="233">
        <v>174080000</v>
      </c>
      <c r="V53" s="233">
        <v>109928943</v>
      </c>
      <c r="W53" s="234">
        <v>0</v>
      </c>
      <c r="X53" s="234">
        <v>0</v>
      </c>
      <c r="Y53" s="234">
        <v>0</v>
      </c>
      <c r="Z53" s="234">
        <v>0</v>
      </c>
      <c r="AA53" s="233">
        <v>174080000</v>
      </c>
    </row>
    <row r="54" spans="1:27" ht="16.5" hidden="1" customHeight="1" x14ac:dyDescent="0.25">
      <c r="A54" s="232" t="s">
        <v>781</v>
      </c>
      <c r="B54" s="232" t="s">
        <v>782</v>
      </c>
      <c r="C54" s="232" t="s">
        <v>541</v>
      </c>
      <c r="D54" s="232" t="s">
        <v>642</v>
      </c>
      <c r="E54" s="232" t="s">
        <v>783</v>
      </c>
      <c r="F54" s="233">
        <v>74072057</v>
      </c>
      <c r="G54" s="234">
        <v>0</v>
      </c>
      <c r="H54" s="234">
        <v>0</v>
      </c>
      <c r="I54" s="234">
        <v>0</v>
      </c>
      <c r="J54" s="234">
        <v>0</v>
      </c>
      <c r="K54" s="234">
        <v>0</v>
      </c>
      <c r="L54" s="234">
        <v>0</v>
      </c>
      <c r="M54" s="233">
        <v>74072057</v>
      </c>
      <c r="N54" s="234">
        <v>0</v>
      </c>
      <c r="O54" s="234">
        <v>0</v>
      </c>
      <c r="P54" s="234">
        <v>0</v>
      </c>
      <c r="Q54" s="234">
        <v>0</v>
      </c>
      <c r="R54" s="233">
        <v>74072057</v>
      </c>
      <c r="S54" s="234">
        <v>0</v>
      </c>
      <c r="T54" s="234">
        <v>0</v>
      </c>
      <c r="U54" s="234">
        <v>0</v>
      </c>
      <c r="V54" s="233">
        <v>74072057</v>
      </c>
      <c r="W54" s="234">
        <v>0</v>
      </c>
      <c r="X54" s="234">
        <v>0</v>
      </c>
      <c r="Y54" s="234">
        <v>0</v>
      </c>
      <c r="Z54" s="234">
        <v>0</v>
      </c>
      <c r="AA54" s="234">
        <v>0</v>
      </c>
    </row>
    <row r="55" spans="1:27" ht="16.5" hidden="1" customHeight="1" x14ac:dyDescent="0.25">
      <c r="A55" s="232" t="s">
        <v>784</v>
      </c>
      <c r="B55" s="232" t="s">
        <v>569</v>
      </c>
      <c r="C55" s="232" t="s">
        <v>541</v>
      </c>
      <c r="D55" s="232" t="s">
        <v>570</v>
      </c>
      <c r="E55" s="232" t="s">
        <v>571</v>
      </c>
      <c r="F55" s="233">
        <v>7500000</v>
      </c>
      <c r="G55" s="234">
        <v>0</v>
      </c>
      <c r="H55" s="234">
        <v>0</v>
      </c>
      <c r="I55" s="234">
        <v>0</v>
      </c>
      <c r="J55" s="234">
        <v>0</v>
      </c>
      <c r="K55" s="234">
        <v>0</v>
      </c>
      <c r="L55" s="234">
        <v>0</v>
      </c>
      <c r="M55" s="233">
        <v>7500000</v>
      </c>
      <c r="N55" s="234">
        <v>0</v>
      </c>
      <c r="O55" s="233">
        <v>1155067</v>
      </c>
      <c r="P55" s="233">
        <v>1155067</v>
      </c>
      <c r="Q55" s="234">
        <v>0</v>
      </c>
      <c r="R55" s="233">
        <v>6344933</v>
      </c>
      <c r="S55" s="234">
        <v>0</v>
      </c>
      <c r="T55" s="233">
        <v>1155067</v>
      </c>
      <c r="U55" s="233">
        <v>1155067</v>
      </c>
      <c r="V55" s="233">
        <v>6344933</v>
      </c>
      <c r="W55" s="233">
        <v>1155067</v>
      </c>
      <c r="X55" s="234">
        <v>0</v>
      </c>
      <c r="Y55" s="234">
        <v>0</v>
      </c>
      <c r="Z55" s="234">
        <v>0</v>
      </c>
      <c r="AA55" s="233">
        <v>1155067</v>
      </c>
    </row>
    <row r="56" spans="1:27" ht="16.5" hidden="1" customHeight="1" x14ac:dyDescent="0.25">
      <c r="A56" s="232" t="s">
        <v>539</v>
      </c>
      <c r="B56" s="232" t="s">
        <v>643</v>
      </c>
      <c r="C56" s="232" t="s">
        <v>541</v>
      </c>
      <c r="D56" s="232" t="s">
        <v>644</v>
      </c>
      <c r="E56" s="232" t="s">
        <v>539</v>
      </c>
      <c r="F56" s="233">
        <v>25927943</v>
      </c>
      <c r="G56" s="234">
        <v>0</v>
      </c>
      <c r="H56" s="234">
        <v>0</v>
      </c>
      <c r="I56" s="234">
        <v>0</v>
      </c>
      <c r="J56" s="234">
        <v>0</v>
      </c>
      <c r="K56" s="234">
        <v>0</v>
      </c>
      <c r="L56" s="234">
        <v>0</v>
      </c>
      <c r="M56" s="233">
        <v>25927943</v>
      </c>
      <c r="N56" s="234">
        <v>0</v>
      </c>
      <c r="O56" s="234">
        <v>0</v>
      </c>
      <c r="P56" s="234">
        <v>0</v>
      </c>
      <c r="Q56" s="234">
        <v>0</v>
      </c>
      <c r="R56" s="233">
        <v>25927943</v>
      </c>
      <c r="S56" s="234">
        <v>0</v>
      </c>
      <c r="T56" s="234">
        <v>0</v>
      </c>
      <c r="U56" s="234">
        <v>0</v>
      </c>
      <c r="V56" s="233">
        <v>25927943</v>
      </c>
      <c r="W56" s="234">
        <v>0</v>
      </c>
      <c r="X56" s="234">
        <v>0</v>
      </c>
      <c r="Y56" s="234">
        <v>0</v>
      </c>
      <c r="Z56" s="234">
        <v>0</v>
      </c>
      <c r="AA56" s="234">
        <v>0</v>
      </c>
    </row>
    <row r="57" spans="1:27" ht="16.5" customHeight="1" x14ac:dyDescent="0.25">
      <c r="A57" s="232" t="s">
        <v>539</v>
      </c>
      <c r="B57" s="232" t="s">
        <v>645</v>
      </c>
      <c r="C57" s="232" t="s">
        <v>541</v>
      </c>
      <c r="D57" s="232" t="s">
        <v>646</v>
      </c>
      <c r="E57" s="232" t="s">
        <v>539</v>
      </c>
      <c r="F57" s="233">
        <v>25927943</v>
      </c>
      <c r="G57" s="234">
        <v>0</v>
      </c>
      <c r="H57" s="234">
        <v>0</v>
      </c>
      <c r="I57" s="234">
        <v>0</v>
      </c>
      <c r="J57" s="234">
        <v>0</v>
      </c>
      <c r="K57" s="234">
        <v>0</v>
      </c>
      <c r="L57" s="234">
        <v>0</v>
      </c>
      <c r="M57" s="233">
        <v>25927943</v>
      </c>
      <c r="N57" s="234">
        <v>0</v>
      </c>
      <c r="O57" s="234">
        <v>0</v>
      </c>
      <c r="P57" s="234">
        <v>0</v>
      </c>
      <c r="Q57" s="234">
        <v>0</v>
      </c>
      <c r="R57" s="233">
        <v>25927943</v>
      </c>
      <c r="S57" s="234">
        <v>0</v>
      </c>
      <c r="T57" s="234">
        <v>0</v>
      </c>
      <c r="U57" s="234">
        <v>0</v>
      </c>
      <c r="V57" s="233">
        <v>25927943</v>
      </c>
      <c r="W57" s="234">
        <v>0</v>
      </c>
      <c r="X57" s="234">
        <v>0</v>
      </c>
      <c r="Y57" s="234">
        <v>0</v>
      </c>
      <c r="Z57" s="234">
        <v>0</v>
      </c>
      <c r="AA57" s="234">
        <v>0</v>
      </c>
    </row>
    <row r="58" spans="1:27" ht="16.5" hidden="1" customHeight="1" x14ac:dyDescent="0.25">
      <c r="A58" s="232" t="s">
        <v>539</v>
      </c>
      <c r="B58" s="232" t="s">
        <v>647</v>
      </c>
      <c r="C58" s="232" t="s">
        <v>541</v>
      </c>
      <c r="D58" s="232" t="s">
        <v>648</v>
      </c>
      <c r="E58" s="232" t="s">
        <v>539</v>
      </c>
      <c r="F58" s="233">
        <v>25927943</v>
      </c>
      <c r="G58" s="234">
        <v>0</v>
      </c>
      <c r="H58" s="234">
        <v>0</v>
      </c>
      <c r="I58" s="234">
        <v>0</v>
      </c>
      <c r="J58" s="234">
        <v>0</v>
      </c>
      <c r="K58" s="234">
        <v>0</v>
      </c>
      <c r="L58" s="234">
        <v>0</v>
      </c>
      <c r="M58" s="233">
        <v>25927943</v>
      </c>
      <c r="N58" s="234">
        <v>0</v>
      </c>
      <c r="O58" s="234">
        <v>0</v>
      </c>
      <c r="P58" s="234">
        <v>0</v>
      </c>
      <c r="Q58" s="234">
        <v>0</v>
      </c>
      <c r="R58" s="233">
        <v>25927943</v>
      </c>
      <c r="S58" s="234">
        <v>0</v>
      </c>
      <c r="T58" s="234">
        <v>0</v>
      </c>
      <c r="U58" s="234">
        <v>0</v>
      </c>
      <c r="V58" s="233">
        <v>25927943</v>
      </c>
      <c r="W58" s="234">
        <v>0</v>
      </c>
      <c r="X58" s="234">
        <v>0</v>
      </c>
      <c r="Y58" s="234">
        <v>0</v>
      </c>
      <c r="Z58" s="234">
        <v>0</v>
      </c>
      <c r="AA58" s="234">
        <v>0</v>
      </c>
    </row>
    <row r="59" spans="1:27" ht="16.5" hidden="1" customHeight="1" x14ac:dyDescent="0.25">
      <c r="A59" s="232" t="s">
        <v>785</v>
      </c>
      <c r="B59" s="232" t="s">
        <v>650</v>
      </c>
      <c r="C59" s="232" t="s">
        <v>541</v>
      </c>
      <c r="D59" s="232" t="s">
        <v>651</v>
      </c>
      <c r="E59" s="232" t="s">
        <v>556</v>
      </c>
      <c r="F59" s="233">
        <v>25927943</v>
      </c>
      <c r="G59" s="234">
        <v>0</v>
      </c>
      <c r="H59" s="234">
        <v>0</v>
      </c>
      <c r="I59" s="234">
        <v>0</v>
      </c>
      <c r="J59" s="234">
        <v>0</v>
      </c>
      <c r="K59" s="234">
        <v>0</v>
      </c>
      <c r="L59" s="234">
        <v>0</v>
      </c>
      <c r="M59" s="233">
        <v>25927943</v>
      </c>
      <c r="N59" s="234">
        <v>0</v>
      </c>
      <c r="O59" s="234">
        <v>0</v>
      </c>
      <c r="P59" s="234">
        <v>0</v>
      </c>
      <c r="Q59" s="234">
        <v>0</v>
      </c>
      <c r="R59" s="233">
        <v>25927943</v>
      </c>
      <c r="S59" s="234">
        <v>0</v>
      </c>
      <c r="T59" s="234">
        <v>0</v>
      </c>
      <c r="U59" s="234">
        <v>0</v>
      </c>
      <c r="V59" s="233">
        <v>25927943</v>
      </c>
      <c r="W59" s="234">
        <v>0</v>
      </c>
      <c r="X59" s="234">
        <v>0</v>
      </c>
      <c r="Y59" s="234">
        <v>0</v>
      </c>
      <c r="Z59" s="234">
        <v>0</v>
      </c>
      <c r="AA59" s="234">
        <v>0</v>
      </c>
    </row>
    <row r="60" spans="1:27" ht="16.5" hidden="1" customHeight="1" x14ac:dyDescent="0.25">
      <c r="A60" s="232" t="s">
        <v>539</v>
      </c>
      <c r="B60" s="232" t="s">
        <v>653</v>
      </c>
      <c r="C60" s="232" t="s">
        <v>541</v>
      </c>
      <c r="D60" s="232" t="s">
        <v>654</v>
      </c>
      <c r="E60" s="232" t="s">
        <v>539</v>
      </c>
      <c r="F60" s="233">
        <v>42616000</v>
      </c>
      <c r="G60" s="234">
        <v>0</v>
      </c>
      <c r="H60" s="234">
        <v>0</v>
      </c>
      <c r="I60" s="234">
        <v>0</v>
      </c>
      <c r="J60" s="234">
        <v>0</v>
      </c>
      <c r="K60" s="234">
        <v>0</v>
      </c>
      <c r="L60" s="234">
        <v>0</v>
      </c>
      <c r="M60" s="233">
        <v>42616000</v>
      </c>
      <c r="N60" s="234">
        <v>0</v>
      </c>
      <c r="O60" s="234">
        <v>0</v>
      </c>
      <c r="P60" s="234">
        <v>0</v>
      </c>
      <c r="Q60" s="234">
        <v>0</v>
      </c>
      <c r="R60" s="233">
        <v>42616000</v>
      </c>
      <c r="S60" s="234">
        <v>0</v>
      </c>
      <c r="T60" s="234">
        <v>0</v>
      </c>
      <c r="U60" s="234">
        <v>0</v>
      </c>
      <c r="V60" s="233">
        <v>42616000</v>
      </c>
      <c r="W60" s="234">
        <v>0</v>
      </c>
      <c r="X60" s="234">
        <v>0</v>
      </c>
      <c r="Y60" s="234">
        <v>0</v>
      </c>
      <c r="Z60" s="234">
        <v>0</v>
      </c>
      <c r="AA60" s="234">
        <v>0</v>
      </c>
    </row>
    <row r="61" spans="1:27" ht="16.5" hidden="1" customHeight="1" x14ac:dyDescent="0.25">
      <c r="A61" s="232" t="s">
        <v>539</v>
      </c>
      <c r="B61" s="232" t="s">
        <v>655</v>
      </c>
      <c r="C61" s="232" t="s">
        <v>541</v>
      </c>
      <c r="D61" s="232" t="s">
        <v>656</v>
      </c>
      <c r="E61" s="232" t="s">
        <v>539</v>
      </c>
      <c r="F61" s="233">
        <v>42616000</v>
      </c>
      <c r="G61" s="234">
        <v>0</v>
      </c>
      <c r="H61" s="234">
        <v>0</v>
      </c>
      <c r="I61" s="234">
        <v>0</v>
      </c>
      <c r="J61" s="234">
        <v>0</v>
      </c>
      <c r="K61" s="234">
        <v>0</v>
      </c>
      <c r="L61" s="234">
        <v>0</v>
      </c>
      <c r="M61" s="233">
        <v>42616000</v>
      </c>
      <c r="N61" s="234">
        <v>0</v>
      </c>
      <c r="O61" s="234">
        <v>0</v>
      </c>
      <c r="P61" s="234">
        <v>0</v>
      </c>
      <c r="Q61" s="234">
        <v>0</v>
      </c>
      <c r="R61" s="233">
        <v>42616000</v>
      </c>
      <c r="S61" s="234">
        <v>0</v>
      </c>
      <c r="T61" s="234">
        <v>0</v>
      </c>
      <c r="U61" s="234">
        <v>0</v>
      </c>
      <c r="V61" s="233">
        <v>42616000</v>
      </c>
      <c r="W61" s="234">
        <v>0</v>
      </c>
      <c r="X61" s="234">
        <v>0</v>
      </c>
      <c r="Y61" s="234">
        <v>0</v>
      </c>
      <c r="Z61" s="234">
        <v>0</v>
      </c>
      <c r="AA61" s="234">
        <v>0</v>
      </c>
    </row>
    <row r="62" spans="1:27" ht="16.5" customHeight="1" x14ac:dyDescent="0.25">
      <c r="A62" s="232" t="s">
        <v>786</v>
      </c>
      <c r="B62" s="232" t="s">
        <v>658</v>
      </c>
      <c r="C62" s="232" t="s">
        <v>541</v>
      </c>
      <c r="D62" s="232" t="s">
        <v>659</v>
      </c>
      <c r="E62" s="232" t="s">
        <v>556</v>
      </c>
      <c r="F62" s="233">
        <v>42616000</v>
      </c>
      <c r="G62" s="234">
        <v>0</v>
      </c>
      <c r="H62" s="234">
        <v>0</v>
      </c>
      <c r="I62" s="234">
        <v>0</v>
      </c>
      <c r="J62" s="234">
        <v>0</v>
      </c>
      <c r="K62" s="234">
        <v>0</v>
      </c>
      <c r="L62" s="234">
        <v>0</v>
      </c>
      <c r="M62" s="233">
        <v>42616000</v>
      </c>
      <c r="N62" s="234">
        <v>0</v>
      </c>
      <c r="O62" s="234">
        <v>0</v>
      </c>
      <c r="P62" s="234">
        <v>0</v>
      </c>
      <c r="Q62" s="234">
        <v>0</v>
      </c>
      <c r="R62" s="233">
        <v>42616000</v>
      </c>
      <c r="S62" s="234">
        <v>0</v>
      </c>
      <c r="T62" s="234">
        <v>0</v>
      </c>
      <c r="U62" s="234">
        <v>0</v>
      </c>
      <c r="V62" s="233">
        <v>42616000</v>
      </c>
      <c r="W62" s="234">
        <v>0</v>
      </c>
      <c r="X62" s="234">
        <v>0</v>
      </c>
      <c r="Y62" s="234">
        <v>0</v>
      </c>
      <c r="Z62" s="234">
        <v>0</v>
      </c>
      <c r="AA62" s="234">
        <v>0</v>
      </c>
    </row>
    <row r="63" spans="1:27" s="238" customFormat="1" ht="16.5" customHeight="1" x14ac:dyDescent="0.25">
      <c r="A63" s="235" t="s">
        <v>539</v>
      </c>
      <c r="B63" s="235" t="s">
        <v>660</v>
      </c>
      <c r="C63" s="235" t="s">
        <v>541</v>
      </c>
      <c r="D63" s="235" t="s">
        <v>661</v>
      </c>
      <c r="E63" s="235" t="s">
        <v>539</v>
      </c>
      <c r="F63" s="236">
        <v>4364918051</v>
      </c>
      <c r="G63" s="237">
        <v>0</v>
      </c>
      <c r="H63" s="237">
        <v>0</v>
      </c>
      <c r="I63" s="237">
        <v>0</v>
      </c>
      <c r="J63" s="237">
        <v>0</v>
      </c>
      <c r="K63" s="237">
        <v>0</v>
      </c>
      <c r="L63" s="237">
        <v>0</v>
      </c>
      <c r="M63" s="236">
        <v>4364918051</v>
      </c>
      <c r="N63" s="237">
        <v>0</v>
      </c>
      <c r="O63" s="236">
        <v>2136284886</v>
      </c>
      <c r="P63" s="236">
        <v>2136284886</v>
      </c>
      <c r="Q63" s="237">
        <v>0</v>
      </c>
      <c r="R63" s="236">
        <v>2228633165</v>
      </c>
      <c r="S63" s="237">
        <v>0</v>
      </c>
      <c r="T63" s="236">
        <v>1415541250</v>
      </c>
      <c r="U63" s="236">
        <v>1415541250</v>
      </c>
      <c r="V63" s="236">
        <v>2949376801</v>
      </c>
      <c r="W63" s="237">
        <v>0</v>
      </c>
      <c r="X63" s="237">
        <v>0</v>
      </c>
      <c r="Y63" s="237">
        <v>0</v>
      </c>
      <c r="Z63" s="237">
        <v>0</v>
      </c>
      <c r="AA63" s="236">
        <v>1415541250</v>
      </c>
    </row>
    <row r="64" spans="1:27" ht="16.5" hidden="1" customHeight="1" x14ac:dyDescent="0.25">
      <c r="A64" s="232" t="s">
        <v>539</v>
      </c>
      <c r="B64" s="232" t="s">
        <v>662</v>
      </c>
      <c r="C64" s="232" t="s">
        <v>541</v>
      </c>
      <c r="D64" s="232" t="s">
        <v>663</v>
      </c>
      <c r="E64" s="232" t="s">
        <v>539</v>
      </c>
      <c r="F64" s="233">
        <v>4364918051</v>
      </c>
      <c r="G64" s="234">
        <v>0</v>
      </c>
      <c r="H64" s="234">
        <v>0</v>
      </c>
      <c r="I64" s="234">
        <v>0</v>
      </c>
      <c r="J64" s="234">
        <v>0</v>
      </c>
      <c r="K64" s="234">
        <v>0</v>
      </c>
      <c r="L64" s="234">
        <v>0</v>
      </c>
      <c r="M64" s="233">
        <v>4364918051</v>
      </c>
      <c r="N64" s="234">
        <v>0</v>
      </c>
      <c r="O64" s="233">
        <v>2136284886</v>
      </c>
      <c r="P64" s="233">
        <v>2136284886</v>
      </c>
      <c r="Q64" s="234">
        <v>0</v>
      </c>
      <c r="R64" s="233">
        <v>2228633165</v>
      </c>
      <c r="S64" s="234">
        <v>0</v>
      </c>
      <c r="T64" s="233">
        <v>1415541250</v>
      </c>
      <c r="U64" s="233">
        <v>1415541250</v>
      </c>
      <c r="V64" s="233">
        <v>2949376801</v>
      </c>
      <c r="W64" s="234">
        <v>0</v>
      </c>
      <c r="X64" s="234">
        <v>0</v>
      </c>
      <c r="Y64" s="234">
        <v>0</v>
      </c>
      <c r="Z64" s="234">
        <v>0</v>
      </c>
      <c r="AA64" s="233">
        <v>1415541250</v>
      </c>
    </row>
    <row r="65" spans="1:27" ht="16.5" hidden="1" customHeight="1" x14ac:dyDescent="0.25">
      <c r="A65" s="232" t="s">
        <v>539</v>
      </c>
      <c r="B65" s="232" t="s">
        <v>675</v>
      </c>
      <c r="C65" s="232" t="s">
        <v>541</v>
      </c>
      <c r="D65" s="232" t="s">
        <v>630</v>
      </c>
      <c r="E65" s="232" t="s">
        <v>539</v>
      </c>
      <c r="F65" s="233">
        <v>4364918051</v>
      </c>
      <c r="G65" s="234">
        <v>0</v>
      </c>
      <c r="H65" s="234">
        <v>0</v>
      </c>
      <c r="I65" s="234">
        <v>0</v>
      </c>
      <c r="J65" s="234">
        <v>0</v>
      </c>
      <c r="K65" s="234">
        <v>0</v>
      </c>
      <c r="L65" s="234">
        <v>0</v>
      </c>
      <c r="M65" s="233">
        <v>4364918051</v>
      </c>
      <c r="N65" s="234">
        <v>0</v>
      </c>
      <c r="O65" s="233">
        <v>2136284886</v>
      </c>
      <c r="P65" s="233">
        <v>2136284886</v>
      </c>
      <c r="Q65" s="234">
        <v>0</v>
      </c>
      <c r="R65" s="233">
        <v>2228633165</v>
      </c>
      <c r="S65" s="234">
        <v>0</v>
      </c>
      <c r="T65" s="233">
        <v>1415541250</v>
      </c>
      <c r="U65" s="233">
        <v>1415541250</v>
      </c>
      <c r="V65" s="233">
        <v>2949376801</v>
      </c>
      <c r="W65" s="234">
        <v>0</v>
      </c>
      <c r="X65" s="234">
        <v>0</v>
      </c>
      <c r="Y65" s="234">
        <v>0</v>
      </c>
      <c r="Z65" s="234">
        <v>0</v>
      </c>
      <c r="AA65" s="233">
        <v>1415541250</v>
      </c>
    </row>
    <row r="66" spans="1:27" ht="33" hidden="1" x14ac:dyDescent="0.25">
      <c r="A66" s="232" t="s">
        <v>539</v>
      </c>
      <c r="B66" s="232" t="s">
        <v>676</v>
      </c>
      <c r="C66" s="232" t="s">
        <v>541</v>
      </c>
      <c r="D66" s="232" t="s">
        <v>633</v>
      </c>
      <c r="E66" s="232" t="s">
        <v>539</v>
      </c>
      <c r="F66" s="233">
        <v>50000000</v>
      </c>
      <c r="G66" s="234">
        <v>0</v>
      </c>
      <c r="H66" s="234">
        <v>0</v>
      </c>
      <c r="I66" s="234">
        <v>0</v>
      </c>
      <c r="J66" s="234">
        <v>0</v>
      </c>
      <c r="K66" s="234">
        <v>0</v>
      </c>
      <c r="L66" s="234">
        <v>0</v>
      </c>
      <c r="M66" s="233">
        <v>50000000</v>
      </c>
      <c r="N66" s="234">
        <v>0</v>
      </c>
      <c r="O66" s="234">
        <v>0</v>
      </c>
      <c r="P66" s="234">
        <v>0</v>
      </c>
      <c r="Q66" s="234">
        <v>0</v>
      </c>
      <c r="R66" s="233">
        <v>50000000</v>
      </c>
      <c r="S66" s="234">
        <v>0</v>
      </c>
      <c r="T66" s="234">
        <v>0</v>
      </c>
      <c r="U66" s="234">
        <v>0</v>
      </c>
      <c r="V66" s="233">
        <v>50000000</v>
      </c>
      <c r="W66" s="234">
        <v>0</v>
      </c>
      <c r="X66" s="234">
        <v>0</v>
      </c>
      <c r="Y66" s="234">
        <v>0</v>
      </c>
      <c r="Z66" s="234">
        <v>0</v>
      </c>
      <c r="AA66" s="234">
        <v>0</v>
      </c>
    </row>
    <row r="67" spans="1:27" s="242" customFormat="1" ht="33" x14ac:dyDescent="0.25">
      <c r="A67" s="239" t="s">
        <v>787</v>
      </c>
      <c r="B67" s="239" t="s">
        <v>678</v>
      </c>
      <c r="C67" s="239" t="s">
        <v>541</v>
      </c>
      <c r="D67" s="239" t="s">
        <v>679</v>
      </c>
      <c r="E67" s="239" t="s">
        <v>556</v>
      </c>
      <c r="F67" s="240">
        <v>50000000</v>
      </c>
      <c r="G67" s="241">
        <v>0</v>
      </c>
      <c r="H67" s="241">
        <v>0</v>
      </c>
      <c r="I67" s="241">
        <v>0</v>
      </c>
      <c r="J67" s="241">
        <v>0</v>
      </c>
      <c r="K67" s="241">
        <v>0</v>
      </c>
      <c r="L67" s="241">
        <v>0</v>
      </c>
      <c r="M67" s="240">
        <v>50000000</v>
      </c>
      <c r="N67" s="241">
        <v>0</v>
      </c>
      <c r="O67" s="241">
        <v>0</v>
      </c>
      <c r="P67" s="241">
        <v>0</v>
      </c>
      <c r="Q67" s="241">
        <v>0</v>
      </c>
      <c r="R67" s="240">
        <v>50000000</v>
      </c>
      <c r="S67" s="241">
        <v>0</v>
      </c>
      <c r="T67" s="241">
        <v>0</v>
      </c>
      <c r="U67" s="241">
        <v>0</v>
      </c>
      <c r="V67" s="240">
        <v>50000000</v>
      </c>
      <c r="W67" s="241">
        <v>0</v>
      </c>
      <c r="X67" s="241">
        <v>0</v>
      </c>
      <c r="Y67" s="241">
        <v>0</v>
      </c>
      <c r="Z67" s="241">
        <v>0</v>
      </c>
      <c r="AA67" s="241">
        <v>0</v>
      </c>
    </row>
    <row r="68" spans="1:27" ht="22.5" hidden="1" x14ac:dyDescent="0.25">
      <c r="A68" s="232" t="s">
        <v>539</v>
      </c>
      <c r="B68" s="232" t="s">
        <v>683</v>
      </c>
      <c r="C68" s="232" t="s">
        <v>541</v>
      </c>
      <c r="D68" s="232" t="s">
        <v>636</v>
      </c>
      <c r="E68" s="232" t="s">
        <v>539</v>
      </c>
      <c r="F68" s="233">
        <v>389441514</v>
      </c>
      <c r="G68" s="234">
        <v>0</v>
      </c>
      <c r="H68" s="234">
        <v>0</v>
      </c>
      <c r="I68" s="234">
        <v>0</v>
      </c>
      <c r="J68" s="234">
        <v>0</v>
      </c>
      <c r="K68" s="234">
        <v>0</v>
      </c>
      <c r="L68" s="234">
        <v>0</v>
      </c>
      <c r="M68" s="233">
        <v>389441514</v>
      </c>
      <c r="N68" s="234">
        <v>0</v>
      </c>
      <c r="O68" s="233">
        <v>170000000</v>
      </c>
      <c r="P68" s="233">
        <v>170000000</v>
      </c>
      <c r="Q68" s="234">
        <v>0</v>
      </c>
      <c r="R68" s="233">
        <v>219441514</v>
      </c>
      <c r="S68" s="234">
        <v>0</v>
      </c>
      <c r="T68" s="234">
        <v>0</v>
      </c>
      <c r="U68" s="234">
        <v>0</v>
      </c>
      <c r="V68" s="233">
        <v>389441514</v>
      </c>
      <c r="W68" s="234">
        <v>0</v>
      </c>
      <c r="X68" s="234">
        <v>0</v>
      </c>
      <c r="Y68" s="234">
        <v>0</v>
      </c>
      <c r="Z68" s="234">
        <v>0</v>
      </c>
      <c r="AA68" s="234">
        <v>0</v>
      </c>
    </row>
    <row r="69" spans="1:27" s="242" customFormat="1" ht="22.5" x14ac:dyDescent="0.25">
      <c r="A69" s="239" t="s">
        <v>788</v>
      </c>
      <c r="B69" s="239" t="s">
        <v>688</v>
      </c>
      <c r="C69" s="239" t="s">
        <v>541</v>
      </c>
      <c r="D69" s="239" t="s">
        <v>689</v>
      </c>
      <c r="E69" s="239" t="s">
        <v>556</v>
      </c>
      <c r="F69" s="240">
        <v>219441514</v>
      </c>
      <c r="G69" s="241">
        <v>0</v>
      </c>
      <c r="H69" s="241">
        <v>0</v>
      </c>
      <c r="I69" s="241">
        <v>0</v>
      </c>
      <c r="J69" s="241">
        <v>0</v>
      </c>
      <c r="K69" s="241">
        <v>0</v>
      </c>
      <c r="L69" s="241">
        <v>0</v>
      </c>
      <c r="M69" s="240">
        <v>219441514</v>
      </c>
      <c r="N69" s="241">
        <v>0</v>
      </c>
      <c r="O69" s="241">
        <v>0</v>
      </c>
      <c r="P69" s="241">
        <v>0</v>
      </c>
      <c r="Q69" s="241">
        <v>0</v>
      </c>
      <c r="R69" s="240">
        <v>219441514</v>
      </c>
      <c r="S69" s="241">
        <v>0</v>
      </c>
      <c r="T69" s="241">
        <v>0</v>
      </c>
      <c r="U69" s="241">
        <v>0</v>
      </c>
      <c r="V69" s="240">
        <v>219441514</v>
      </c>
      <c r="W69" s="241">
        <v>0</v>
      </c>
      <c r="X69" s="241">
        <v>0</v>
      </c>
      <c r="Y69" s="241">
        <v>0</v>
      </c>
      <c r="Z69" s="241">
        <v>0</v>
      </c>
      <c r="AA69" s="241">
        <v>0</v>
      </c>
    </row>
    <row r="70" spans="1:27" ht="16.5" hidden="1" customHeight="1" x14ac:dyDescent="0.25">
      <c r="A70" s="232" t="s">
        <v>539</v>
      </c>
      <c r="B70" s="232" t="s">
        <v>698</v>
      </c>
      <c r="C70" s="232" t="s">
        <v>541</v>
      </c>
      <c r="D70" s="232" t="s">
        <v>642</v>
      </c>
      <c r="E70" s="232" t="s">
        <v>539</v>
      </c>
      <c r="F70" s="233">
        <v>3925476537</v>
      </c>
      <c r="G70" s="234">
        <v>0</v>
      </c>
      <c r="H70" s="234">
        <v>0</v>
      </c>
      <c r="I70" s="234">
        <v>0</v>
      </c>
      <c r="J70" s="234">
        <v>0</v>
      </c>
      <c r="K70" s="234">
        <v>0</v>
      </c>
      <c r="L70" s="234">
        <v>0</v>
      </c>
      <c r="M70" s="233">
        <v>3925476537</v>
      </c>
      <c r="N70" s="234">
        <v>0</v>
      </c>
      <c r="O70" s="233">
        <v>1966284886</v>
      </c>
      <c r="P70" s="233">
        <v>1966284886</v>
      </c>
      <c r="Q70" s="234">
        <v>0</v>
      </c>
      <c r="R70" s="233">
        <v>1959191651</v>
      </c>
      <c r="S70" s="234">
        <v>0</v>
      </c>
      <c r="T70" s="233">
        <v>1415541250</v>
      </c>
      <c r="U70" s="233">
        <v>1415541250</v>
      </c>
      <c r="V70" s="233">
        <v>2509935287</v>
      </c>
      <c r="W70" s="234">
        <v>0</v>
      </c>
      <c r="X70" s="234">
        <v>0</v>
      </c>
      <c r="Y70" s="234">
        <v>0</v>
      </c>
      <c r="Z70" s="234">
        <v>0</v>
      </c>
      <c r="AA70" s="233">
        <v>1415541250</v>
      </c>
    </row>
    <row r="71" spans="1:27" s="246" customFormat="1" ht="16.5" customHeight="1" x14ac:dyDescent="0.25">
      <c r="A71" s="243" t="s">
        <v>789</v>
      </c>
      <c r="B71" s="243" t="s">
        <v>700</v>
      </c>
      <c r="C71" s="243" t="s">
        <v>541</v>
      </c>
      <c r="D71" s="243" t="s">
        <v>701</v>
      </c>
      <c r="E71" s="243" t="s">
        <v>610</v>
      </c>
      <c r="F71" s="244">
        <v>4000000</v>
      </c>
      <c r="G71" s="245">
        <v>0</v>
      </c>
      <c r="H71" s="245">
        <v>0</v>
      </c>
      <c r="I71" s="245">
        <v>0</v>
      </c>
      <c r="J71" s="245">
        <v>0</v>
      </c>
      <c r="K71" s="245">
        <v>0</v>
      </c>
      <c r="L71" s="245">
        <v>0</v>
      </c>
      <c r="M71" s="244">
        <v>4000000</v>
      </c>
      <c r="N71" s="245">
        <v>0</v>
      </c>
      <c r="O71" s="245">
        <v>0</v>
      </c>
      <c r="P71" s="245">
        <v>0</v>
      </c>
      <c r="Q71" s="245">
        <v>0</v>
      </c>
      <c r="R71" s="244">
        <v>4000000</v>
      </c>
      <c r="S71" s="245">
        <v>0</v>
      </c>
      <c r="T71" s="245">
        <v>0</v>
      </c>
      <c r="U71" s="245">
        <v>0</v>
      </c>
      <c r="V71" s="244">
        <v>4000000</v>
      </c>
      <c r="W71" s="245">
        <v>0</v>
      </c>
      <c r="X71" s="245">
        <v>0</v>
      </c>
      <c r="Y71" s="245">
        <v>0</v>
      </c>
      <c r="Z71" s="245">
        <v>0</v>
      </c>
      <c r="AA71" s="245">
        <v>0</v>
      </c>
    </row>
    <row r="72" spans="1:27" s="246" customFormat="1" ht="16.5" customHeight="1" x14ac:dyDescent="0.25">
      <c r="A72" s="243" t="s">
        <v>790</v>
      </c>
      <c r="B72" s="243" t="s">
        <v>703</v>
      </c>
      <c r="C72" s="243" t="s">
        <v>541</v>
      </c>
      <c r="D72" s="243" t="s">
        <v>701</v>
      </c>
      <c r="E72" s="243" t="s">
        <v>556</v>
      </c>
      <c r="F72" s="244">
        <v>1230360000</v>
      </c>
      <c r="G72" s="245">
        <v>0</v>
      </c>
      <c r="H72" s="245">
        <v>0</v>
      </c>
      <c r="I72" s="245">
        <v>0</v>
      </c>
      <c r="J72" s="245">
        <v>0</v>
      </c>
      <c r="K72" s="245">
        <v>0</v>
      </c>
      <c r="L72" s="245">
        <v>0</v>
      </c>
      <c r="M72" s="244">
        <v>1230360000</v>
      </c>
      <c r="N72" s="245">
        <v>0</v>
      </c>
      <c r="O72" s="244">
        <v>121800000</v>
      </c>
      <c r="P72" s="244">
        <v>121800000</v>
      </c>
      <c r="Q72" s="245">
        <v>0</v>
      </c>
      <c r="R72" s="244">
        <v>1108560000</v>
      </c>
      <c r="S72" s="245">
        <v>0</v>
      </c>
      <c r="T72" s="244">
        <v>100800000</v>
      </c>
      <c r="U72" s="244">
        <v>100800000</v>
      </c>
      <c r="V72" s="244">
        <v>1129560000</v>
      </c>
      <c r="W72" s="245">
        <v>0</v>
      </c>
      <c r="X72" s="245">
        <v>0</v>
      </c>
      <c r="Y72" s="245">
        <v>0</v>
      </c>
      <c r="Z72" s="245">
        <v>0</v>
      </c>
      <c r="AA72" s="244">
        <v>100800000</v>
      </c>
    </row>
    <row r="73" spans="1:27" s="242" customFormat="1" ht="16.5" customHeight="1" x14ac:dyDescent="0.25">
      <c r="A73" s="239" t="s">
        <v>791</v>
      </c>
      <c r="B73" s="239" t="s">
        <v>705</v>
      </c>
      <c r="C73" s="239" t="s">
        <v>541</v>
      </c>
      <c r="D73" s="239" t="s">
        <v>706</v>
      </c>
      <c r="E73" s="239" t="s">
        <v>556</v>
      </c>
      <c r="F73" s="240">
        <v>1384990486</v>
      </c>
      <c r="G73" s="241">
        <v>0</v>
      </c>
      <c r="H73" s="241">
        <v>0</v>
      </c>
      <c r="I73" s="241">
        <v>0</v>
      </c>
      <c r="J73" s="241">
        <v>0</v>
      </c>
      <c r="K73" s="241">
        <v>0</v>
      </c>
      <c r="L73" s="241">
        <v>0</v>
      </c>
      <c r="M73" s="240">
        <v>1384990486</v>
      </c>
      <c r="N73" s="241">
        <v>0</v>
      </c>
      <c r="O73" s="240">
        <v>804344886</v>
      </c>
      <c r="P73" s="240">
        <v>804344886</v>
      </c>
      <c r="Q73" s="241">
        <v>0</v>
      </c>
      <c r="R73" s="240">
        <v>580645600</v>
      </c>
      <c r="S73" s="241">
        <v>0</v>
      </c>
      <c r="T73" s="240">
        <v>374081250</v>
      </c>
      <c r="U73" s="240">
        <v>374081250</v>
      </c>
      <c r="V73" s="240">
        <v>1010909236</v>
      </c>
      <c r="W73" s="241">
        <v>0</v>
      </c>
      <c r="X73" s="241">
        <v>0</v>
      </c>
      <c r="Y73" s="241">
        <v>0</v>
      </c>
      <c r="Z73" s="241">
        <v>0</v>
      </c>
      <c r="AA73" s="240">
        <v>374081250</v>
      </c>
    </row>
    <row r="74" spans="1:27" s="250" customFormat="1" ht="16.5" customHeight="1" x14ac:dyDescent="0.25">
      <c r="A74" s="247" t="s">
        <v>792</v>
      </c>
      <c r="B74" s="247" t="s">
        <v>87</v>
      </c>
      <c r="C74" s="247" t="s">
        <v>541</v>
      </c>
      <c r="D74" s="247" t="s">
        <v>708</v>
      </c>
      <c r="E74" s="247" t="s">
        <v>556</v>
      </c>
      <c r="F74" s="248">
        <v>238770000</v>
      </c>
      <c r="G74" s="249">
        <v>0</v>
      </c>
      <c r="H74" s="249">
        <v>0</v>
      </c>
      <c r="I74" s="249">
        <v>0</v>
      </c>
      <c r="J74" s="249">
        <v>0</v>
      </c>
      <c r="K74" s="249">
        <v>0</v>
      </c>
      <c r="L74" s="249">
        <v>0</v>
      </c>
      <c r="M74" s="248">
        <v>238770000</v>
      </c>
      <c r="N74" s="249">
        <v>0</v>
      </c>
      <c r="O74" s="248">
        <v>219610000</v>
      </c>
      <c r="P74" s="248">
        <v>219610000</v>
      </c>
      <c r="Q74" s="249">
        <v>0</v>
      </c>
      <c r="R74" s="248">
        <v>19160000</v>
      </c>
      <c r="S74" s="249">
        <v>0</v>
      </c>
      <c r="T74" s="248">
        <v>219610000</v>
      </c>
      <c r="U74" s="248">
        <v>219610000</v>
      </c>
      <c r="V74" s="248">
        <v>19160000</v>
      </c>
      <c r="W74" s="249">
        <v>0</v>
      </c>
      <c r="X74" s="249">
        <v>0</v>
      </c>
      <c r="Y74" s="249">
        <v>0</v>
      </c>
      <c r="Z74" s="249">
        <v>0</v>
      </c>
      <c r="AA74" s="248">
        <v>219610000</v>
      </c>
    </row>
    <row r="75" spans="1:27" s="254" customFormat="1" ht="22.5" x14ac:dyDescent="0.25">
      <c r="A75" s="251" t="s">
        <v>793</v>
      </c>
      <c r="B75" s="251" t="s">
        <v>710</v>
      </c>
      <c r="C75" s="251" t="s">
        <v>541</v>
      </c>
      <c r="D75" s="251" t="s">
        <v>711</v>
      </c>
      <c r="E75" s="251" t="s">
        <v>556</v>
      </c>
      <c r="F75" s="252">
        <v>525900000</v>
      </c>
      <c r="G75" s="253">
        <v>0</v>
      </c>
      <c r="H75" s="253">
        <v>0</v>
      </c>
      <c r="I75" s="253">
        <v>0</v>
      </c>
      <c r="J75" s="253">
        <v>0</v>
      </c>
      <c r="K75" s="253">
        <v>0</v>
      </c>
      <c r="L75" s="253">
        <v>0</v>
      </c>
      <c r="M75" s="252">
        <v>525900000</v>
      </c>
      <c r="N75" s="253">
        <v>0</v>
      </c>
      <c r="O75" s="252">
        <v>305100000</v>
      </c>
      <c r="P75" s="252">
        <v>305100000</v>
      </c>
      <c r="Q75" s="253">
        <v>0</v>
      </c>
      <c r="R75" s="252">
        <v>220800000</v>
      </c>
      <c r="S75" s="253">
        <v>0</v>
      </c>
      <c r="T75" s="252">
        <v>305100000</v>
      </c>
      <c r="U75" s="252">
        <v>305100000</v>
      </c>
      <c r="V75" s="252">
        <v>220800000</v>
      </c>
      <c r="W75" s="253">
        <v>0</v>
      </c>
      <c r="X75" s="253">
        <v>0</v>
      </c>
      <c r="Y75" s="253">
        <v>0</v>
      </c>
      <c r="Z75" s="253">
        <v>0</v>
      </c>
      <c r="AA75" s="252">
        <v>305100000</v>
      </c>
    </row>
    <row r="76" spans="1:27" s="258" customFormat="1" ht="22.5" x14ac:dyDescent="0.25">
      <c r="A76" s="255" t="s">
        <v>794</v>
      </c>
      <c r="B76" s="255" t="s">
        <v>99</v>
      </c>
      <c r="C76" s="255" t="s">
        <v>541</v>
      </c>
      <c r="D76" s="255" t="s">
        <v>713</v>
      </c>
      <c r="E76" s="255" t="s">
        <v>556</v>
      </c>
      <c r="F76" s="256">
        <v>541456051</v>
      </c>
      <c r="G76" s="257">
        <v>0</v>
      </c>
      <c r="H76" s="257">
        <v>0</v>
      </c>
      <c r="I76" s="257">
        <v>0</v>
      </c>
      <c r="J76" s="257">
        <v>0</v>
      </c>
      <c r="K76" s="257">
        <v>0</v>
      </c>
      <c r="L76" s="257">
        <v>0</v>
      </c>
      <c r="M76" s="256">
        <v>541456051</v>
      </c>
      <c r="N76" s="257">
        <v>0</v>
      </c>
      <c r="O76" s="256">
        <v>515430000</v>
      </c>
      <c r="P76" s="256">
        <v>515430000</v>
      </c>
      <c r="Q76" s="257">
        <v>0</v>
      </c>
      <c r="R76" s="256">
        <v>26026051</v>
      </c>
      <c r="S76" s="257">
        <v>0</v>
      </c>
      <c r="T76" s="256">
        <v>415950000</v>
      </c>
      <c r="U76" s="256">
        <v>415950000</v>
      </c>
      <c r="V76" s="256">
        <v>125506051</v>
      </c>
      <c r="W76" s="257">
        <v>0</v>
      </c>
      <c r="X76" s="257">
        <v>0</v>
      </c>
      <c r="Y76" s="257">
        <v>0</v>
      </c>
      <c r="Z76" s="257">
        <v>0</v>
      </c>
      <c r="AA76" s="256">
        <v>415950000</v>
      </c>
    </row>
    <row r="77" spans="1:27" s="254" customFormat="1" ht="22.5" x14ac:dyDescent="0.25">
      <c r="A77" s="251" t="s">
        <v>795</v>
      </c>
      <c r="B77" s="251" t="s">
        <v>685</v>
      </c>
      <c r="C77" s="251" t="s">
        <v>541</v>
      </c>
      <c r="D77" s="251" t="s">
        <v>686</v>
      </c>
      <c r="E77" s="251" t="s">
        <v>556</v>
      </c>
      <c r="F77" s="252">
        <v>170000000</v>
      </c>
      <c r="G77" s="253">
        <v>0</v>
      </c>
      <c r="H77" s="253">
        <v>0</v>
      </c>
      <c r="I77" s="253">
        <v>0</v>
      </c>
      <c r="J77" s="253">
        <v>0</v>
      </c>
      <c r="K77" s="253">
        <v>0</v>
      </c>
      <c r="L77" s="253">
        <v>0</v>
      </c>
      <c r="M77" s="252">
        <v>170000000</v>
      </c>
      <c r="N77" s="253">
        <v>0</v>
      </c>
      <c r="O77" s="252">
        <v>170000000</v>
      </c>
      <c r="P77" s="252">
        <v>170000000</v>
      </c>
      <c r="Q77" s="253">
        <v>0</v>
      </c>
      <c r="R77" s="253">
        <v>0</v>
      </c>
      <c r="S77" s="253">
        <v>0</v>
      </c>
      <c r="T77" s="253">
        <v>0</v>
      </c>
      <c r="U77" s="253">
        <v>0</v>
      </c>
      <c r="V77" s="252">
        <v>170000000</v>
      </c>
      <c r="W77" s="253">
        <v>0</v>
      </c>
      <c r="X77" s="253">
        <v>0</v>
      </c>
      <c r="Y77" s="253">
        <v>0</v>
      </c>
      <c r="Z77" s="253">
        <v>0</v>
      </c>
      <c r="AA77" s="253">
        <v>0</v>
      </c>
    </row>
    <row r="79" spans="1:27" x14ac:dyDescent="0.25">
      <c r="M79" s="259"/>
    </row>
    <row r="80" spans="1:27" x14ac:dyDescent="0.25">
      <c r="B80" s="166" t="s">
        <v>442</v>
      </c>
      <c r="C80" s="166"/>
      <c r="D80" s="166"/>
      <c r="E80" s="166"/>
      <c r="F80" s="166"/>
      <c r="G80" s="166"/>
      <c r="H80" s="166"/>
      <c r="I80" s="166"/>
      <c r="J80" s="166"/>
      <c r="K80" s="167">
        <f>+K62+K70+K72+K75</f>
        <v>0</v>
      </c>
      <c r="L80" s="167">
        <f>+L63+L70+L72+L75</f>
        <v>0</v>
      </c>
      <c r="M80" s="168">
        <f>M67+M69+M73</f>
        <v>1654432000</v>
      </c>
      <c r="N80" s="168"/>
      <c r="O80" s="168"/>
      <c r="P80" s="168"/>
      <c r="Q80" s="168"/>
      <c r="R80" s="168"/>
      <c r="S80" s="168"/>
      <c r="T80" s="168"/>
      <c r="U80" s="168">
        <f>U67+U69+U73</f>
        <v>374081250</v>
      </c>
      <c r="V80" s="168">
        <f>+V63+V70+V72+V75</f>
        <v>6809672088</v>
      </c>
      <c r="W80" s="168">
        <f>+W63+W70+W72+W75</f>
        <v>0</v>
      </c>
      <c r="X80" s="168">
        <f>+X62+X70+X72+X75</f>
        <v>0</v>
      </c>
      <c r="Y80" s="169"/>
      <c r="Z80" s="168">
        <f>Z54+Z57+Z61+Z68</f>
        <v>0</v>
      </c>
    </row>
    <row r="81" spans="2:29" x14ac:dyDescent="0.25">
      <c r="B81" s="170" t="s">
        <v>730</v>
      </c>
      <c r="C81" s="170"/>
      <c r="D81" s="170"/>
      <c r="E81" s="170"/>
      <c r="F81" s="170"/>
      <c r="G81" s="170"/>
      <c r="H81" s="170"/>
      <c r="I81" s="170"/>
      <c r="J81" s="170"/>
      <c r="K81" s="171">
        <f>+K68+K73+K74</f>
        <v>0</v>
      </c>
      <c r="L81" s="171">
        <f>+L68+L73+L74</f>
        <v>0</v>
      </c>
      <c r="M81" s="172">
        <f>M71+M72</f>
        <v>1234360000</v>
      </c>
      <c r="N81" s="172"/>
      <c r="O81" s="172"/>
      <c r="P81" s="172"/>
      <c r="Q81" s="172"/>
      <c r="R81" s="172"/>
      <c r="S81" s="172"/>
      <c r="T81" s="172"/>
      <c r="U81" s="172">
        <f>U71+U72</f>
        <v>100800000</v>
      </c>
      <c r="V81" s="172">
        <f>+V68+V73+V74</f>
        <v>1419510750</v>
      </c>
      <c r="W81" s="172">
        <f>+W68+W73+W74</f>
        <v>0</v>
      </c>
      <c r="X81" s="172">
        <f>+X68+X73+X74</f>
        <v>0</v>
      </c>
      <c r="Y81" s="173"/>
      <c r="Z81" s="172">
        <f>Z66+Z67+Z77</f>
        <v>0</v>
      </c>
      <c r="AC81" s="259"/>
    </row>
    <row r="82" spans="2:29" x14ac:dyDescent="0.25">
      <c r="B82" s="174" t="s">
        <v>731</v>
      </c>
      <c r="C82" s="174"/>
      <c r="D82" s="174"/>
      <c r="E82" s="174"/>
      <c r="F82" s="174"/>
      <c r="G82" s="174"/>
      <c r="H82" s="174"/>
      <c r="I82" s="174"/>
      <c r="J82" s="174"/>
      <c r="K82" s="175">
        <f>+K61+K71+K77</f>
        <v>0</v>
      </c>
      <c r="L82" s="175">
        <f>+L62+L71+L77</f>
        <v>0</v>
      </c>
      <c r="M82" s="176">
        <f>M75+M77</f>
        <v>695900000</v>
      </c>
      <c r="N82" s="176"/>
      <c r="O82" s="176"/>
      <c r="P82" s="176"/>
      <c r="Q82" s="176"/>
      <c r="R82" s="176"/>
      <c r="S82" s="176"/>
      <c r="T82" s="176"/>
      <c r="U82" s="176">
        <f>U75+U77</f>
        <v>305100000</v>
      </c>
      <c r="V82" s="176">
        <f>+V62+V71+V77</f>
        <v>216616000</v>
      </c>
      <c r="W82" s="176">
        <f>+W62+W71+W77</f>
        <v>0</v>
      </c>
      <c r="X82" s="176">
        <f>+X61+X71+X77</f>
        <v>0</v>
      </c>
      <c r="Y82" s="177"/>
      <c r="Z82" s="176">
        <f>Z53+Z60+Z70</f>
        <v>0</v>
      </c>
    </row>
    <row r="83" spans="2:29" x14ac:dyDescent="0.25">
      <c r="B83" s="178" t="s">
        <v>732</v>
      </c>
      <c r="C83" s="178"/>
      <c r="D83" s="178"/>
      <c r="E83" s="178"/>
      <c r="F83" s="178"/>
      <c r="G83" s="178"/>
      <c r="H83" s="178"/>
      <c r="I83" s="178"/>
      <c r="J83" s="178"/>
      <c r="K83" s="179">
        <f>+K76</f>
        <v>0</v>
      </c>
      <c r="L83" s="179">
        <f>+L76</f>
        <v>0</v>
      </c>
      <c r="M83" s="180">
        <f>M74</f>
        <v>238770000</v>
      </c>
      <c r="N83" s="180"/>
      <c r="O83" s="180"/>
      <c r="P83" s="180"/>
      <c r="Q83" s="180"/>
      <c r="R83" s="180"/>
      <c r="S83" s="180"/>
      <c r="T83" s="180"/>
      <c r="U83" s="180">
        <f>U74</f>
        <v>219610000</v>
      </c>
      <c r="V83" s="180">
        <f>+V76</f>
        <v>125506051</v>
      </c>
      <c r="W83" s="180">
        <f>+W76</f>
        <v>0</v>
      </c>
      <c r="X83" s="180">
        <f>+X76</f>
        <v>0</v>
      </c>
      <c r="Y83" s="181"/>
      <c r="Z83" s="180">
        <f>Z69</f>
        <v>0</v>
      </c>
    </row>
    <row r="84" spans="2:29" x14ac:dyDescent="0.25">
      <c r="B84" s="182" t="s">
        <v>733</v>
      </c>
      <c r="C84" s="182"/>
      <c r="D84" s="182"/>
      <c r="E84" s="182"/>
      <c r="F84" s="182"/>
      <c r="G84" s="182"/>
      <c r="H84" s="182"/>
      <c r="I84" s="182"/>
      <c r="J84" s="182"/>
      <c r="K84" s="183">
        <f>+K78</f>
        <v>0</v>
      </c>
      <c r="L84" s="183">
        <f>+L78</f>
        <v>0</v>
      </c>
      <c r="M84" s="184">
        <f>M76</f>
        <v>541456051</v>
      </c>
      <c r="N84" s="184"/>
      <c r="O84" s="184"/>
      <c r="P84" s="184"/>
      <c r="Q84" s="184"/>
      <c r="R84" s="184"/>
      <c r="S84" s="184"/>
      <c r="T84" s="184"/>
      <c r="U84" s="184">
        <f>U76</f>
        <v>415950000</v>
      </c>
      <c r="V84" s="184">
        <f>+V78</f>
        <v>0</v>
      </c>
      <c r="W84" s="184">
        <f>+W78</f>
        <v>0</v>
      </c>
      <c r="X84" s="184">
        <f>+X78</f>
        <v>0</v>
      </c>
      <c r="Y84" s="185"/>
      <c r="Z84" s="184">
        <f>Z71</f>
        <v>0</v>
      </c>
    </row>
    <row r="85" spans="2:29" x14ac:dyDescent="0.25">
      <c r="B85" s="186"/>
      <c r="C85" s="186"/>
      <c r="D85" s="186"/>
      <c r="E85" s="186"/>
      <c r="F85" s="186"/>
      <c r="G85" s="186"/>
      <c r="H85" s="186"/>
      <c r="I85" s="186"/>
      <c r="J85" s="186"/>
      <c r="K85" s="186"/>
      <c r="L85" s="186"/>
      <c r="M85" s="186"/>
      <c r="N85" s="186"/>
      <c r="O85" s="186"/>
      <c r="P85" s="186"/>
      <c r="Q85" s="186"/>
      <c r="R85" s="186"/>
      <c r="S85" s="186"/>
      <c r="T85" s="186"/>
      <c r="U85" s="187"/>
      <c r="V85" s="186"/>
      <c r="W85" s="186"/>
      <c r="X85" s="186"/>
      <c r="Y85" s="188"/>
      <c r="Z85" s="188"/>
    </row>
    <row r="86" spans="2:29" x14ac:dyDescent="0.25">
      <c r="B86" s="186"/>
      <c r="C86" s="186"/>
      <c r="D86" s="186"/>
      <c r="E86" s="186"/>
      <c r="F86" s="186"/>
      <c r="G86" s="186"/>
      <c r="H86" s="186"/>
      <c r="I86" s="186"/>
      <c r="J86" s="186"/>
      <c r="K86" s="189">
        <f>SUM(K80:K84)</f>
        <v>0</v>
      </c>
      <c r="L86" s="189">
        <f t="shared" ref="L86:R86" si="0">SUM(L80:L84)</f>
        <v>0</v>
      </c>
      <c r="M86" s="189">
        <f>SUM(M80:M84)</f>
        <v>4364918051</v>
      </c>
      <c r="N86" s="189">
        <f t="shared" si="0"/>
        <v>0</v>
      </c>
      <c r="O86" s="189">
        <f t="shared" si="0"/>
        <v>0</v>
      </c>
      <c r="P86" s="189">
        <f t="shared" si="0"/>
        <v>0</v>
      </c>
      <c r="Q86" s="189">
        <f t="shared" si="0"/>
        <v>0</v>
      </c>
      <c r="R86" s="189">
        <f t="shared" si="0"/>
        <v>0</v>
      </c>
      <c r="S86" s="189">
        <f>SUM(S80:S84)</f>
        <v>0</v>
      </c>
      <c r="T86" s="186"/>
      <c r="U86" s="189">
        <f>U80+U81+U82+U83+U84</f>
        <v>1415541250</v>
      </c>
      <c r="V86" s="186"/>
      <c r="W86" s="186"/>
      <c r="X86" s="190" t="e">
        <f>S86/K86</f>
        <v>#DIV/0!</v>
      </c>
      <c r="Y86" s="188"/>
      <c r="Z86" s="191">
        <f>U86/M86</f>
        <v>0.32429961650155159</v>
      </c>
    </row>
  </sheetData>
  <mergeCells count="6">
    <mergeCell ref="A6:AA6"/>
    <mergeCell ref="A1:AA1"/>
    <mergeCell ref="A2:AA2"/>
    <mergeCell ref="A3:AA3"/>
    <mergeCell ref="A4:AA4"/>
    <mergeCell ref="A5:AA5"/>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50D76-219F-4331-A758-D8CB732DA102}">
  <sheetPr>
    <pageSetUpPr fitToPage="1"/>
  </sheetPr>
  <dimension ref="B4:AS101"/>
  <sheetViews>
    <sheetView topLeftCell="A16" zoomScale="50" zoomScaleNormal="50" zoomScaleSheetLayoutView="70" workbookViewId="0">
      <selection activeCell="AO15" sqref="AO15"/>
    </sheetView>
  </sheetViews>
  <sheetFormatPr baseColWidth="10" defaultColWidth="12.28515625" defaultRowHeight="15" x14ac:dyDescent="0.2"/>
  <cols>
    <col min="1" max="1" width="2.7109375" style="262" customWidth="1"/>
    <col min="2" max="2" width="23.7109375" style="262" hidden="1" customWidth="1"/>
    <col min="3" max="3" width="22.5703125" style="262" hidden="1" customWidth="1"/>
    <col min="4" max="4" width="22.5703125" style="262" customWidth="1"/>
    <col min="5" max="5" width="12.85546875" style="262" hidden="1" customWidth="1"/>
    <col min="6" max="6" width="14" style="262" hidden="1" customWidth="1"/>
    <col min="7" max="7" width="65.42578125" style="262" customWidth="1"/>
    <col min="8" max="8" width="15.7109375" style="261" customWidth="1"/>
    <col min="9" max="9" width="11" style="261" customWidth="1"/>
    <col min="10" max="10" width="15.5703125" style="261" customWidth="1"/>
    <col min="11" max="11" width="11.140625" style="261" hidden="1" customWidth="1"/>
    <col min="12" max="12" width="0" style="261" hidden="1" customWidth="1"/>
    <col min="13" max="13" width="18.7109375" style="261" customWidth="1"/>
    <col min="14" max="14" width="17.28515625" style="261" hidden="1" customWidth="1"/>
    <col min="15" max="22" width="15" style="261" hidden="1" customWidth="1"/>
    <col min="23" max="23" width="15" style="261" customWidth="1"/>
    <col min="24" max="24" width="18.42578125" style="261" customWidth="1"/>
    <col min="25" max="26" width="15" style="261" hidden="1" customWidth="1"/>
    <col min="27" max="27" width="18.140625" style="261" customWidth="1"/>
    <col min="28" max="28" width="15" style="261" hidden="1" customWidth="1"/>
    <col min="29" max="29" width="15" style="261" customWidth="1"/>
    <col min="30" max="30" width="14.7109375" style="261" customWidth="1"/>
    <col min="31" max="31" width="9.85546875" style="261" hidden="1" customWidth="1"/>
    <col min="32" max="32" width="15" style="261" hidden="1" customWidth="1"/>
    <col min="33" max="34" width="15" style="261" customWidth="1"/>
    <col min="35" max="35" width="14.7109375" style="261" customWidth="1"/>
    <col min="36" max="36" width="12.140625" style="261" hidden="1" customWidth="1"/>
    <col min="37" max="37" width="15" style="261" hidden="1" customWidth="1"/>
    <col min="38" max="38" width="15" style="261" customWidth="1"/>
    <col min="39" max="39" width="17" style="261" customWidth="1"/>
    <col min="40" max="40" width="12.140625" style="261" hidden="1" customWidth="1"/>
    <col min="41" max="41" width="18.85546875" style="261" customWidth="1"/>
    <col min="42" max="42" width="76.140625" style="262" bestFit="1" customWidth="1"/>
    <col min="43" max="43" width="12.28515625" style="262"/>
    <col min="44" max="44" width="20.140625" style="262" customWidth="1"/>
    <col min="45" max="16384" width="12.28515625" style="262"/>
  </cols>
  <sheetData>
    <row r="4" spans="2:44" ht="20.100000000000001" customHeight="1" x14ac:dyDescent="0.2">
      <c r="B4" s="444" t="s">
        <v>798</v>
      </c>
      <c r="C4" s="444"/>
      <c r="D4" s="444"/>
      <c r="E4" s="444"/>
      <c r="F4" s="444"/>
      <c r="G4" s="444"/>
      <c r="H4" s="444"/>
      <c r="I4" s="444"/>
      <c r="J4" s="444"/>
      <c r="K4" s="444"/>
      <c r="L4" s="444"/>
      <c r="M4" s="444"/>
      <c r="N4" s="444"/>
      <c r="O4" s="444"/>
      <c r="P4" s="444"/>
      <c r="Q4" s="444"/>
      <c r="R4" s="444"/>
      <c r="S4" s="444"/>
      <c r="T4" s="444"/>
      <c r="U4" s="444"/>
      <c r="V4" s="444"/>
      <c r="W4" s="444"/>
      <c r="X4" s="444"/>
      <c r="Y4" s="444"/>
      <c r="Z4" s="444"/>
      <c r="AA4" s="444"/>
      <c r="AB4" s="444"/>
      <c r="AC4" s="444"/>
      <c r="AD4" s="444"/>
      <c r="AE4" s="444"/>
      <c r="AF4" s="444"/>
      <c r="AG4" s="444"/>
      <c r="AH4" s="260"/>
      <c r="AI4" s="260"/>
      <c r="AJ4" s="260"/>
      <c r="AK4" s="260"/>
      <c r="AL4" s="260"/>
      <c r="AM4" s="260"/>
      <c r="AN4" s="260"/>
    </row>
    <row r="5" spans="2:44" ht="20.100000000000001" customHeight="1" x14ac:dyDescent="0.2">
      <c r="B5" s="444" t="s">
        <v>799</v>
      </c>
      <c r="C5" s="444"/>
      <c r="D5" s="444"/>
      <c r="E5" s="444"/>
      <c r="F5" s="444"/>
      <c r="G5" s="444"/>
      <c r="H5" s="444"/>
      <c r="I5" s="444"/>
      <c r="J5" s="444"/>
      <c r="K5" s="444"/>
      <c r="L5" s="444"/>
      <c r="M5" s="444"/>
      <c r="N5" s="444"/>
      <c r="O5" s="444"/>
      <c r="P5" s="444"/>
      <c r="Q5" s="444"/>
      <c r="R5" s="444"/>
      <c r="S5" s="444"/>
      <c r="T5" s="444"/>
      <c r="U5" s="444"/>
      <c r="V5" s="444"/>
      <c r="W5" s="444"/>
      <c r="X5" s="444"/>
      <c r="Y5" s="444"/>
      <c r="Z5" s="444"/>
      <c r="AA5" s="444"/>
      <c r="AB5" s="444"/>
      <c r="AC5" s="444"/>
      <c r="AD5" s="444"/>
      <c r="AE5" s="444"/>
      <c r="AF5" s="444"/>
      <c r="AG5" s="444"/>
      <c r="AH5" s="260"/>
      <c r="AI5" s="260"/>
      <c r="AJ5" s="260"/>
      <c r="AK5" s="260"/>
      <c r="AL5" s="260"/>
      <c r="AM5" s="260"/>
      <c r="AN5" s="260"/>
    </row>
    <row r="6" spans="2:44" ht="20.100000000000001" customHeight="1" x14ac:dyDescent="0.2">
      <c r="B6" s="444" t="s">
        <v>800</v>
      </c>
      <c r="C6" s="444"/>
      <c r="D6" s="444"/>
      <c r="E6" s="444"/>
      <c r="F6" s="444"/>
      <c r="G6" s="444"/>
      <c r="H6" s="444"/>
      <c r="I6" s="444"/>
      <c r="J6" s="444"/>
      <c r="K6" s="444"/>
      <c r="L6" s="444"/>
      <c r="M6" s="444"/>
      <c r="N6" s="444"/>
      <c r="O6" s="444"/>
      <c r="P6" s="444"/>
      <c r="Q6" s="444"/>
      <c r="R6" s="444"/>
      <c r="S6" s="444"/>
      <c r="T6" s="444"/>
      <c r="U6" s="444"/>
      <c r="V6" s="444"/>
      <c r="W6" s="444"/>
      <c r="X6" s="444"/>
      <c r="Y6" s="444"/>
      <c r="Z6" s="444"/>
      <c r="AA6" s="444"/>
      <c r="AB6" s="444"/>
      <c r="AC6" s="444"/>
      <c r="AD6" s="444"/>
      <c r="AE6" s="444"/>
      <c r="AF6" s="444"/>
      <c r="AG6" s="444"/>
      <c r="AH6" s="260"/>
      <c r="AI6" s="260"/>
      <c r="AJ6" s="260"/>
      <c r="AK6" s="260"/>
      <c r="AL6" s="260"/>
      <c r="AM6" s="260"/>
      <c r="AN6" s="260"/>
    </row>
    <row r="7" spans="2:44" x14ac:dyDescent="0.2">
      <c r="M7" s="263"/>
    </row>
    <row r="8" spans="2:44" ht="15.75" thickBot="1" x14ac:dyDescent="0.25"/>
    <row r="9" spans="2:44" ht="18" customHeight="1" thickBot="1" x14ac:dyDescent="0.25">
      <c r="B9" s="264" t="s">
        <v>801</v>
      </c>
      <c r="C9" s="265" t="s">
        <v>802</v>
      </c>
      <c r="D9" s="266"/>
      <c r="E9" s="266"/>
      <c r="F9" s="266"/>
      <c r="G9" s="266"/>
      <c r="H9" s="266"/>
      <c r="I9" s="266"/>
      <c r="J9" s="266"/>
      <c r="K9" s="266"/>
      <c r="L9" s="266"/>
      <c r="M9" s="266"/>
      <c r="N9" s="266"/>
      <c r="O9" s="266"/>
      <c r="P9" s="266"/>
      <c r="Q9" s="266"/>
      <c r="R9" s="266"/>
      <c r="S9" s="266"/>
      <c r="T9" s="266"/>
      <c r="U9" s="266"/>
      <c r="V9" s="266"/>
      <c r="W9" s="266"/>
      <c r="X9" s="266"/>
      <c r="Y9" s="266"/>
      <c r="Z9" s="266"/>
      <c r="AA9" s="266"/>
      <c r="AB9" s="266"/>
      <c r="AC9" s="266"/>
      <c r="AD9" s="266"/>
      <c r="AE9" s="266"/>
      <c r="AF9" s="266"/>
      <c r="AG9" s="266"/>
      <c r="AH9" s="266"/>
      <c r="AI9" s="266"/>
      <c r="AJ9" s="266"/>
      <c r="AK9" s="266"/>
      <c r="AL9" s="266"/>
      <c r="AM9" s="266"/>
      <c r="AN9" s="266"/>
    </row>
    <row r="10" spans="2:44" ht="18" customHeight="1" thickBot="1" x14ac:dyDescent="0.25">
      <c r="B10" s="267">
        <v>2020</v>
      </c>
      <c r="C10" s="268">
        <v>44196</v>
      </c>
      <c r="D10" s="445" t="s">
        <v>803</v>
      </c>
      <c r="E10" s="446"/>
      <c r="F10" s="446"/>
      <c r="G10" s="446"/>
      <c r="H10" s="446"/>
      <c r="I10" s="446"/>
      <c r="J10" s="447"/>
      <c r="K10" s="266"/>
      <c r="L10" s="266"/>
      <c r="M10" s="266"/>
      <c r="N10" s="266"/>
      <c r="O10" s="266"/>
      <c r="P10" s="266"/>
      <c r="Q10" s="266"/>
      <c r="R10" s="266"/>
      <c r="S10" s="266"/>
      <c r="T10" s="266"/>
      <c r="U10" s="266"/>
      <c r="V10" s="266"/>
      <c r="W10" s="266"/>
      <c r="X10" s="266"/>
      <c r="Y10" s="266"/>
      <c r="Z10" s="266"/>
      <c r="AA10" s="266"/>
      <c r="AB10" s="266"/>
      <c r="AC10" s="266"/>
      <c r="AD10" s="266"/>
      <c r="AE10" s="266"/>
      <c r="AF10" s="266"/>
      <c r="AG10" s="266"/>
      <c r="AH10" s="266"/>
      <c r="AI10" s="266"/>
      <c r="AJ10" s="266"/>
      <c r="AK10" s="266"/>
      <c r="AL10" s="266"/>
      <c r="AM10" s="266"/>
      <c r="AN10" s="266"/>
    </row>
    <row r="11" spans="2:44" ht="18" customHeight="1" x14ac:dyDescent="0.2">
      <c r="B11" s="448" t="s">
        <v>804</v>
      </c>
      <c r="C11" s="451" t="s">
        <v>805</v>
      </c>
      <c r="D11" s="429" t="s">
        <v>806</v>
      </c>
      <c r="E11" s="429" t="s">
        <v>807</v>
      </c>
      <c r="F11" s="429"/>
      <c r="G11" s="439" t="s">
        <v>441</v>
      </c>
      <c r="H11" s="454" t="s">
        <v>808</v>
      </c>
      <c r="I11" s="437">
        <v>2020</v>
      </c>
      <c r="J11" s="429"/>
      <c r="K11" s="429"/>
      <c r="L11" s="429"/>
      <c r="M11" s="429"/>
      <c r="N11" s="429" t="s">
        <v>809</v>
      </c>
      <c r="O11" s="429"/>
      <c r="P11" s="429"/>
      <c r="Q11" s="429"/>
      <c r="R11" s="429"/>
      <c r="S11" s="439" t="s">
        <v>810</v>
      </c>
      <c r="T11" s="440"/>
      <c r="U11" s="440"/>
      <c r="V11" s="437"/>
      <c r="W11" s="429">
        <v>2021</v>
      </c>
      <c r="X11" s="429"/>
      <c r="Y11" s="429"/>
      <c r="Z11" s="429"/>
      <c r="AA11" s="429"/>
      <c r="AB11" s="439" t="s">
        <v>811</v>
      </c>
      <c r="AC11" s="439">
        <v>2022</v>
      </c>
      <c r="AD11" s="440"/>
      <c r="AE11" s="440"/>
      <c r="AF11" s="440"/>
      <c r="AG11" s="440"/>
      <c r="AH11" s="439">
        <v>2023</v>
      </c>
      <c r="AI11" s="440"/>
      <c r="AJ11" s="440"/>
      <c r="AK11" s="440"/>
      <c r="AL11" s="440"/>
      <c r="AM11" s="441" t="s">
        <v>812</v>
      </c>
      <c r="AN11" s="443"/>
      <c r="AO11" s="443" t="s">
        <v>909</v>
      </c>
    </row>
    <row r="12" spans="2:44" ht="30" customHeight="1" x14ac:dyDescent="0.2">
      <c r="B12" s="449"/>
      <c r="C12" s="452"/>
      <c r="D12" s="429"/>
      <c r="E12" s="429"/>
      <c r="F12" s="429"/>
      <c r="G12" s="439"/>
      <c r="H12" s="455"/>
      <c r="I12" s="437" t="s">
        <v>813</v>
      </c>
      <c r="J12" s="429"/>
      <c r="K12" s="429"/>
      <c r="L12" s="429" t="s">
        <v>31</v>
      </c>
      <c r="M12" s="429"/>
      <c r="N12" s="429" t="s">
        <v>814</v>
      </c>
      <c r="O12" s="429"/>
      <c r="P12" s="429"/>
      <c r="Q12" s="429" t="s">
        <v>31</v>
      </c>
      <c r="R12" s="429"/>
      <c r="S12" s="439" t="s">
        <v>814</v>
      </c>
      <c r="T12" s="437"/>
      <c r="U12" s="439" t="s">
        <v>31</v>
      </c>
      <c r="V12" s="437"/>
      <c r="W12" s="429" t="s">
        <v>814</v>
      </c>
      <c r="X12" s="429"/>
      <c r="Y12" s="429"/>
      <c r="Z12" s="429" t="s">
        <v>31</v>
      </c>
      <c r="AA12" s="429"/>
      <c r="AB12" s="439"/>
      <c r="AC12" s="429" t="s">
        <v>814</v>
      </c>
      <c r="AD12" s="429"/>
      <c r="AE12" s="429"/>
      <c r="AF12" s="429" t="s">
        <v>31</v>
      </c>
      <c r="AG12" s="429"/>
      <c r="AH12" s="429" t="s">
        <v>814</v>
      </c>
      <c r="AI12" s="429"/>
      <c r="AJ12" s="429"/>
      <c r="AK12" s="429" t="s">
        <v>31</v>
      </c>
      <c r="AL12" s="429"/>
      <c r="AM12" s="442"/>
      <c r="AN12" s="443"/>
      <c r="AO12" s="443"/>
    </row>
    <row r="13" spans="2:44" ht="17.100000000000001" customHeight="1" x14ac:dyDescent="0.2">
      <c r="B13" s="449"/>
      <c r="C13" s="452"/>
      <c r="D13" s="429"/>
      <c r="E13" s="429"/>
      <c r="F13" s="429"/>
      <c r="G13" s="439"/>
      <c r="H13" s="455"/>
      <c r="I13" s="437" t="s">
        <v>815</v>
      </c>
      <c r="J13" s="429" t="s">
        <v>816</v>
      </c>
      <c r="K13" s="269"/>
      <c r="L13" s="428" t="s">
        <v>817</v>
      </c>
      <c r="M13" s="428" t="s">
        <v>818</v>
      </c>
      <c r="N13" s="428" t="s">
        <v>441</v>
      </c>
      <c r="O13" s="428" t="s">
        <v>816</v>
      </c>
      <c r="P13" s="428"/>
      <c r="Q13" s="428" t="s">
        <v>817</v>
      </c>
      <c r="R13" s="428" t="s">
        <v>818</v>
      </c>
      <c r="S13" s="428" t="s">
        <v>441</v>
      </c>
      <c r="T13" s="428" t="s">
        <v>816</v>
      </c>
      <c r="U13" s="428" t="s">
        <v>817</v>
      </c>
      <c r="V13" s="428" t="s">
        <v>818</v>
      </c>
      <c r="W13" s="429" t="s">
        <v>441</v>
      </c>
      <c r="X13" s="429" t="s">
        <v>816</v>
      </c>
      <c r="Y13" s="270"/>
      <c r="Z13" s="428" t="s">
        <v>817</v>
      </c>
      <c r="AA13" s="428" t="s">
        <v>818</v>
      </c>
      <c r="AB13" s="439"/>
      <c r="AC13" s="429" t="s">
        <v>819</v>
      </c>
      <c r="AD13" s="429" t="s">
        <v>816</v>
      </c>
      <c r="AE13" s="435"/>
      <c r="AF13" s="428" t="s">
        <v>817</v>
      </c>
      <c r="AG13" s="428" t="s">
        <v>818</v>
      </c>
      <c r="AH13" s="429" t="s">
        <v>819</v>
      </c>
      <c r="AI13" s="429" t="s">
        <v>816</v>
      </c>
      <c r="AJ13" s="435"/>
      <c r="AK13" s="428" t="s">
        <v>817</v>
      </c>
      <c r="AL13" s="428" t="s">
        <v>818</v>
      </c>
      <c r="AM13" s="442"/>
      <c r="AN13" s="443"/>
      <c r="AO13" s="443"/>
    </row>
    <row r="14" spans="2:44" ht="37.5" customHeight="1" thickBot="1" x14ac:dyDescent="0.25">
      <c r="B14" s="450"/>
      <c r="C14" s="453"/>
      <c r="D14" s="429"/>
      <c r="E14" s="270" t="s">
        <v>820</v>
      </c>
      <c r="F14" s="270" t="s">
        <v>821</v>
      </c>
      <c r="G14" s="439"/>
      <c r="H14" s="455"/>
      <c r="I14" s="438"/>
      <c r="J14" s="429"/>
      <c r="K14" s="269"/>
      <c r="L14" s="428"/>
      <c r="M14" s="428"/>
      <c r="N14" s="428"/>
      <c r="O14" s="428"/>
      <c r="P14" s="428"/>
      <c r="Q14" s="428"/>
      <c r="R14" s="428"/>
      <c r="S14" s="428"/>
      <c r="T14" s="428"/>
      <c r="U14" s="428"/>
      <c r="V14" s="428"/>
      <c r="W14" s="429"/>
      <c r="X14" s="429"/>
      <c r="Y14" s="270"/>
      <c r="Z14" s="428"/>
      <c r="AA14" s="428"/>
      <c r="AB14" s="439"/>
      <c r="AC14" s="429"/>
      <c r="AD14" s="429"/>
      <c r="AE14" s="436"/>
      <c r="AF14" s="428"/>
      <c r="AG14" s="428"/>
      <c r="AH14" s="429"/>
      <c r="AI14" s="429"/>
      <c r="AJ14" s="436"/>
      <c r="AK14" s="428"/>
      <c r="AL14" s="428"/>
      <c r="AM14" s="442"/>
      <c r="AN14" s="443"/>
      <c r="AO14" s="443"/>
    </row>
    <row r="15" spans="2:44" ht="90" x14ac:dyDescent="0.35">
      <c r="B15" s="430" t="s">
        <v>822</v>
      </c>
      <c r="C15" s="430" t="s">
        <v>823</v>
      </c>
      <c r="D15" s="271" t="s">
        <v>824</v>
      </c>
      <c r="E15" s="272">
        <v>43831</v>
      </c>
      <c r="F15" s="272">
        <v>44196</v>
      </c>
      <c r="G15" s="273" t="str">
        <f>+'[1]PA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274">
        <v>5000</v>
      </c>
      <c r="I15" s="275">
        <v>100</v>
      </c>
      <c r="J15" s="276">
        <v>100</v>
      </c>
      <c r="K15" s="277">
        <f>+J15/I15</f>
        <v>1</v>
      </c>
      <c r="L15" s="278">
        <f>DAYS360(E15,$C$10)/DAYS360(E15,F15)</f>
        <v>1</v>
      </c>
      <c r="M15" s="279">
        <f>IF(I15=0," -",IF(K15&gt;100%,100%,K15))</f>
        <v>1</v>
      </c>
      <c r="N15" s="280">
        <v>1000</v>
      </c>
      <c r="O15" s="280">
        <v>79</v>
      </c>
      <c r="P15" s="281">
        <f>+O15/N15</f>
        <v>7.9000000000000001E-2</v>
      </c>
      <c r="Q15" s="282">
        <f>+(3*100%)/12</f>
        <v>0.25</v>
      </c>
      <c r="R15" s="281">
        <f t="shared" ref="R15:R21" si="0">IF(N15=0," -",IF(P15&gt;100%,100%,P15))</f>
        <v>7.9000000000000001E-2</v>
      </c>
      <c r="S15" s="280">
        <v>1000</v>
      </c>
      <c r="T15" s="280">
        <v>347</v>
      </c>
      <c r="U15" s="283">
        <v>0.5</v>
      </c>
      <c r="V15" s="284">
        <v>0.34699999999999998</v>
      </c>
      <c r="W15" s="285">
        <v>1000</v>
      </c>
      <c r="X15" s="285">
        <v>1044</v>
      </c>
      <c r="Y15" s="278">
        <f>+X15/W15</f>
        <v>1.044</v>
      </c>
      <c r="Z15" s="278">
        <v>1</v>
      </c>
      <c r="AA15" s="279">
        <f>IF(W15=0," -",IF(Y15&gt;100%,100%,Y15))</f>
        <v>1</v>
      </c>
      <c r="AB15" s="286">
        <f>(J15+O15)/H15</f>
        <v>3.5799999999999998E-2</v>
      </c>
      <c r="AC15" s="285">
        <v>800</v>
      </c>
      <c r="AD15" s="285">
        <f>+'[1]PA 2022'!M9</f>
        <v>2380</v>
      </c>
      <c r="AE15" s="278">
        <f t="shared" ref="AE15:AE21" si="1">+AD15/AC15</f>
        <v>2.9750000000000001</v>
      </c>
      <c r="AF15" s="278">
        <v>1</v>
      </c>
      <c r="AG15" s="279">
        <f t="shared" ref="AG15:AG21" si="2">IF(AC15=0," -",IF(AE15&gt;100%,100%,AE15))</f>
        <v>1</v>
      </c>
      <c r="AH15" s="285">
        <v>3100</v>
      </c>
      <c r="AI15" s="285">
        <f>'PA 2023'!M9</f>
        <v>294</v>
      </c>
      <c r="AJ15" s="278">
        <f t="shared" ref="AJ15:AJ21" si="3">+AI15/AH15</f>
        <v>9.483870967741935E-2</v>
      </c>
      <c r="AK15" s="278">
        <v>0.16666666666666699</v>
      </c>
      <c r="AL15" s="459">
        <f t="shared" ref="AL15:AL21" si="4">IF(AH15=0," -",IF(AJ15&gt;100%,100%,AJ15))</f>
        <v>9.483870967741935E-2</v>
      </c>
      <c r="AM15" s="287">
        <f>+J15+X15+AD15+AI15</f>
        <v>3818</v>
      </c>
      <c r="AN15" s="288">
        <f>+AM15/H15</f>
        <v>0.76359999999999995</v>
      </c>
      <c r="AO15" s="284">
        <f t="shared" ref="AO15:AO21" si="5">IF(H15=0," -",IF(AN15&gt;100%,100%,AN15))</f>
        <v>0.76359999999999995</v>
      </c>
      <c r="AP15" s="289"/>
      <c r="AR15" s="290"/>
    </row>
    <row r="16" spans="2:44" ht="66" customHeight="1" x14ac:dyDescent="0.2">
      <c r="B16" s="431"/>
      <c r="C16" s="431"/>
      <c r="D16" s="434" t="s">
        <v>825</v>
      </c>
      <c r="E16" s="272">
        <v>43831</v>
      </c>
      <c r="F16" s="272">
        <v>44196</v>
      </c>
      <c r="G16" s="273" t="str">
        <f>+'[1]PA 2022'!E10</f>
        <v>Implementar 1 programa de desarrollo empresarial y de empleabilidad para las micro y pequeñas empresas (incluyendo unidades productivas).</v>
      </c>
      <c r="H16" s="274">
        <v>1</v>
      </c>
      <c r="I16" s="275">
        <v>1</v>
      </c>
      <c r="J16" s="276">
        <v>1</v>
      </c>
      <c r="K16" s="277">
        <f t="shared" ref="K16:K21" si="6">+J16/I16</f>
        <v>1</v>
      </c>
      <c r="L16" s="278">
        <f>DAYS360(E16,$C$10)/DAYS360(E16,F16)</f>
        <v>1</v>
      </c>
      <c r="M16" s="279">
        <f t="shared" ref="M16:M21" si="7">IF(I16=0," -",IF(K16&gt;100%,100%,K16))</f>
        <v>1</v>
      </c>
      <c r="N16" s="280">
        <v>1</v>
      </c>
      <c r="O16" s="280">
        <v>1</v>
      </c>
      <c r="P16" s="281">
        <f t="shared" ref="P16:P21" si="8">+O16/N16</f>
        <v>1</v>
      </c>
      <c r="Q16" s="282">
        <f t="shared" ref="Q16:Q21" si="9">+(3*100%)/12</f>
        <v>0.25</v>
      </c>
      <c r="R16" s="281">
        <f t="shared" si="0"/>
        <v>1</v>
      </c>
      <c r="S16" s="280">
        <v>1</v>
      </c>
      <c r="T16" s="280">
        <v>1</v>
      </c>
      <c r="U16" s="283">
        <v>0.5</v>
      </c>
      <c r="V16" s="279">
        <v>1</v>
      </c>
      <c r="W16" s="285">
        <v>1</v>
      </c>
      <c r="X16" s="285">
        <v>1</v>
      </c>
      <c r="Y16" s="278">
        <f t="shared" ref="Y16:Y21" si="10">+X16/W16</f>
        <v>1</v>
      </c>
      <c r="Z16" s="278">
        <v>1</v>
      </c>
      <c r="AA16" s="279">
        <f t="shared" ref="AA16:AA21" si="11">IF(W16=0," -",IF(Y16&gt;100%,100%,Y16))</f>
        <v>1</v>
      </c>
      <c r="AB16" s="286">
        <f t="shared" ref="AB16:AB21" si="12">(J16+O16)/H16</f>
        <v>2</v>
      </c>
      <c r="AC16" s="285">
        <v>1</v>
      </c>
      <c r="AD16" s="285">
        <f>+'[1]PA 2022'!M10</f>
        <v>1</v>
      </c>
      <c r="AE16" s="278">
        <f t="shared" si="1"/>
        <v>1</v>
      </c>
      <c r="AF16" s="278">
        <v>1</v>
      </c>
      <c r="AG16" s="279">
        <f t="shared" si="2"/>
        <v>1</v>
      </c>
      <c r="AH16" s="285">
        <v>1</v>
      </c>
      <c r="AI16" s="285">
        <f>'PA 2023'!M10</f>
        <v>1</v>
      </c>
      <c r="AJ16" s="278">
        <f t="shared" si="3"/>
        <v>1</v>
      </c>
      <c r="AK16" s="278">
        <v>0.16666666666666699</v>
      </c>
      <c r="AL16" s="459">
        <f t="shared" si="4"/>
        <v>1</v>
      </c>
      <c r="AM16" s="287">
        <f t="shared" ref="AM16:AM26" si="13">+J16+X16+AD16+AI16</f>
        <v>4</v>
      </c>
      <c r="AN16" s="288">
        <f>+AM16/H16</f>
        <v>4</v>
      </c>
      <c r="AO16" s="279">
        <f t="shared" si="5"/>
        <v>1</v>
      </c>
      <c r="AR16" s="291"/>
    </row>
    <row r="17" spans="2:45" ht="39.75" customHeight="1" x14ac:dyDescent="0.2">
      <c r="B17" s="431"/>
      <c r="C17" s="431"/>
      <c r="D17" s="434"/>
      <c r="E17" s="272">
        <v>43831</v>
      </c>
      <c r="F17" s="272">
        <v>44196</v>
      </c>
      <c r="G17" s="273" t="str">
        <f>+'[1]PA 2022'!E11</f>
        <v>Desarrollar el modelo CDE virtual para que amplíen la cobertura en la ciudad.</v>
      </c>
      <c r="H17" s="292">
        <v>1</v>
      </c>
      <c r="I17" s="293">
        <v>0.1</v>
      </c>
      <c r="J17" s="278">
        <v>0.1</v>
      </c>
      <c r="K17" s="277">
        <f t="shared" si="6"/>
        <v>1</v>
      </c>
      <c r="L17" s="278">
        <f>DAYS360(E17,$C$10)/DAYS360(E17,F17)</f>
        <v>1</v>
      </c>
      <c r="M17" s="279">
        <f t="shared" si="7"/>
        <v>1</v>
      </c>
      <c r="N17" s="280">
        <v>0.25</v>
      </c>
      <c r="O17" s="280">
        <v>0</v>
      </c>
      <c r="P17" s="281">
        <f t="shared" si="8"/>
        <v>0</v>
      </c>
      <c r="Q17" s="282">
        <f t="shared" si="9"/>
        <v>0.25</v>
      </c>
      <c r="R17" s="281">
        <f t="shared" si="0"/>
        <v>0</v>
      </c>
      <c r="S17" s="282">
        <v>0.25</v>
      </c>
      <c r="T17" s="280">
        <v>0</v>
      </c>
      <c r="U17" s="283">
        <v>0.5</v>
      </c>
      <c r="V17" s="294">
        <v>0</v>
      </c>
      <c r="W17" s="295">
        <v>0.25</v>
      </c>
      <c r="X17" s="295">
        <v>0.25</v>
      </c>
      <c r="Y17" s="278">
        <f t="shared" si="10"/>
        <v>1</v>
      </c>
      <c r="Z17" s="278">
        <v>1</v>
      </c>
      <c r="AA17" s="279">
        <f t="shared" si="11"/>
        <v>1</v>
      </c>
      <c r="AB17" s="286">
        <f t="shared" si="12"/>
        <v>0.1</v>
      </c>
      <c r="AC17" s="295">
        <v>0.35</v>
      </c>
      <c r="AD17" s="295">
        <v>0.35</v>
      </c>
      <c r="AE17" s="278">
        <f t="shared" si="1"/>
        <v>1</v>
      </c>
      <c r="AF17" s="278">
        <v>1</v>
      </c>
      <c r="AG17" s="279">
        <f t="shared" si="2"/>
        <v>1</v>
      </c>
      <c r="AH17" s="295">
        <v>0.3</v>
      </c>
      <c r="AI17" s="285">
        <f>'PA 2023'!M11</f>
        <v>0</v>
      </c>
      <c r="AJ17" s="278">
        <f t="shared" si="3"/>
        <v>0</v>
      </c>
      <c r="AK17" s="278">
        <v>0.16666666666666699</v>
      </c>
      <c r="AL17" s="459">
        <f t="shared" si="4"/>
        <v>0</v>
      </c>
      <c r="AM17" s="296">
        <f>+J17+X17+AD17+AI17</f>
        <v>0.7</v>
      </c>
      <c r="AN17" s="288">
        <f>J17+X17+AD17+AI17</f>
        <v>0.7</v>
      </c>
      <c r="AO17" s="279">
        <f t="shared" si="5"/>
        <v>0.7</v>
      </c>
    </row>
    <row r="18" spans="2:45" ht="90.75" customHeight="1" x14ac:dyDescent="0.2">
      <c r="B18" s="431"/>
      <c r="C18" s="431"/>
      <c r="D18" s="434"/>
      <c r="E18" s="272">
        <v>43831</v>
      </c>
      <c r="F18" s="272">
        <v>44196</v>
      </c>
      <c r="G18" s="273" t="str">
        <f>+'[1]PA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274">
        <v>7000</v>
      </c>
      <c r="I18" s="275">
        <v>800</v>
      </c>
      <c r="J18" s="276">
        <v>2182</v>
      </c>
      <c r="K18" s="277">
        <f t="shared" si="6"/>
        <v>2.7275</v>
      </c>
      <c r="L18" s="278">
        <f t="shared" ref="L18:L27" si="14">DAYS360(E18,$C$10)/DAYS360(E18,F18)</f>
        <v>1</v>
      </c>
      <c r="M18" s="279">
        <f t="shared" si="7"/>
        <v>1</v>
      </c>
      <c r="N18" s="280">
        <v>1200</v>
      </c>
      <c r="O18" s="280">
        <v>57</v>
      </c>
      <c r="P18" s="281">
        <f t="shared" si="8"/>
        <v>4.7500000000000001E-2</v>
      </c>
      <c r="Q18" s="282">
        <f t="shared" si="9"/>
        <v>0.25</v>
      </c>
      <c r="R18" s="281">
        <f t="shared" si="0"/>
        <v>4.7500000000000001E-2</v>
      </c>
      <c r="S18" s="280">
        <v>1200</v>
      </c>
      <c r="T18" s="280">
        <v>1082</v>
      </c>
      <c r="U18" s="283">
        <v>0.5</v>
      </c>
      <c r="V18" s="279">
        <v>0.90166666666666662</v>
      </c>
      <c r="W18" s="285">
        <v>1200</v>
      </c>
      <c r="X18" s="285">
        <v>2673</v>
      </c>
      <c r="Y18" s="278">
        <f t="shared" si="10"/>
        <v>2.2275</v>
      </c>
      <c r="Z18" s="278">
        <v>1</v>
      </c>
      <c r="AA18" s="279">
        <f t="shared" si="11"/>
        <v>1</v>
      </c>
      <c r="AB18" s="286">
        <f t="shared" si="12"/>
        <v>0.31985714285714284</v>
      </c>
      <c r="AC18" s="285">
        <v>2000</v>
      </c>
      <c r="AD18" s="285">
        <f>+'[1]PA 2022'!M12</f>
        <v>7106</v>
      </c>
      <c r="AE18" s="278">
        <f t="shared" si="1"/>
        <v>3.5529999999999999</v>
      </c>
      <c r="AF18" s="278">
        <v>1</v>
      </c>
      <c r="AG18" s="279">
        <f t="shared" si="2"/>
        <v>1</v>
      </c>
      <c r="AH18" s="285">
        <v>0</v>
      </c>
      <c r="AI18" s="285">
        <f>'PA 2023'!M12</f>
        <v>599</v>
      </c>
      <c r="AJ18" s="278" t="e">
        <f t="shared" si="3"/>
        <v>#DIV/0!</v>
      </c>
      <c r="AK18" s="278">
        <v>0.16666666666666699</v>
      </c>
      <c r="AL18" s="279" t="str">
        <f t="shared" si="4"/>
        <v xml:space="preserve"> -</v>
      </c>
      <c r="AM18" s="287">
        <f>+J18+X18+AD18+AI18</f>
        <v>12560</v>
      </c>
      <c r="AN18" s="288">
        <f t="shared" ref="AN18:AN27" si="15">+AM18/H18</f>
        <v>1.7942857142857143</v>
      </c>
      <c r="AO18" s="279">
        <f t="shared" si="5"/>
        <v>1</v>
      </c>
    </row>
    <row r="19" spans="2:45" ht="60" x14ac:dyDescent="0.35">
      <c r="B19" s="431"/>
      <c r="C19" s="431"/>
      <c r="D19" s="434"/>
      <c r="E19" s="272">
        <v>43831</v>
      </c>
      <c r="F19" s="272">
        <v>44196</v>
      </c>
      <c r="G19" s="273" t="str">
        <f>+'[1]PA 2022'!E13</f>
        <v>Implementar en 4.000 mipymes planes estratégicos orientados a innovar y/o incorporación tecnológica en áreas empresariales estratégicas con apoyo de Universidades y actores económicos clave.</v>
      </c>
      <c r="H19" s="274">
        <v>4000</v>
      </c>
      <c r="I19" s="275">
        <v>300</v>
      </c>
      <c r="J19" s="276">
        <v>383</v>
      </c>
      <c r="K19" s="277">
        <f t="shared" si="6"/>
        <v>1.2766666666666666</v>
      </c>
      <c r="L19" s="278">
        <f t="shared" si="14"/>
        <v>1</v>
      </c>
      <c r="M19" s="279">
        <f t="shared" si="7"/>
        <v>1</v>
      </c>
      <c r="N19" s="280">
        <v>500</v>
      </c>
      <c r="O19" s="280">
        <v>0</v>
      </c>
      <c r="P19" s="281">
        <f t="shared" si="8"/>
        <v>0</v>
      </c>
      <c r="Q19" s="282">
        <f t="shared" si="9"/>
        <v>0.25</v>
      </c>
      <c r="R19" s="281">
        <f t="shared" si="0"/>
        <v>0</v>
      </c>
      <c r="S19" s="280">
        <v>500</v>
      </c>
      <c r="T19" s="280">
        <v>191</v>
      </c>
      <c r="U19" s="283">
        <v>0.5</v>
      </c>
      <c r="V19" s="284">
        <v>0.38200000000000001</v>
      </c>
      <c r="W19" s="285">
        <v>500</v>
      </c>
      <c r="X19" s="285">
        <v>540</v>
      </c>
      <c r="Y19" s="278">
        <f t="shared" si="10"/>
        <v>1.08</v>
      </c>
      <c r="Z19" s="278">
        <v>1</v>
      </c>
      <c r="AA19" s="279">
        <f t="shared" si="11"/>
        <v>1</v>
      </c>
      <c r="AB19" s="286">
        <f t="shared" si="12"/>
        <v>9.5750000000000002E-2</v>
      </c>
      <c r="AC19" s="285">
        <v>800</v>
      </c>
      <c r="AD19" s="285">
        <f>+'[1]PA 2022'!M13</f>
        <v>973</v>
      </c>
      <c r="AE19" s="278">
        <f t="shared" si="1"/>
        <v>1.2162500000000001</v>
      </c>
      <c r="AF19" s="278">
        <v>1</v>
      </c>
      <c r="AG19" s="279">
        <f t="shared" si="2"/>
        <v>1</v>
      </c>
      <c r="AH19" s="285">
        <v>2400</v>
      </c>
      <c r="AI19" s="285">
        <f>'PA 2023'!M13</f>
        <v>496</v>
      </c>
      <c r="AJ19" s="278">
        <f t="shared" si="3"/>
        <v>0.20666666666666667</v>
      </c>
      <c r="AK19" s="278">
        <v>0.16666666666666699</v>
      </c>
      <c r="AL19" s="459">
        <f t="shared" si="4"/>
        <v>0.20666666666666667</v>
      </c>
      <c r="AM19" s="287">
        <f>+J19+X19+AD19+AI19</f>
        <v>2392</v>
      </c>
      <c r="AN19" s="288">
        <f t="shared" si="15"/>
        <v>0.59799999999999998</v>
      </c>
      <c r="AO19" s="297">
        <f t="shared" si="5"/>
        <v>0.59799999999999998</v>
      </c>
      <c r="AP19" s="298"/>
      <c r="AR19" s="290"/>
      <c r="AS19" s="299"/>
    </row>
    <row r="20" spans="2:45" ht="60" x14ac:dyDescent="0.35">
      <c r="B20" s="431"/>
      <c r="C20" s="431"/>
      <c r="D20" s="434" t="s">
        <v>826</v>
      </c>
      <c r="E20" s="272">
        <v>43831</v>
      </c>
      <c r="F20" s="272">
        <v>44196</v>
      </c>
      <c r="G20" s="273" t="str">
        <f>+'[1]PA 2022'!E14</f>
        <v>Intervenir a 4.000 empresas y/o emprendimientos mediante apalancamiento financiero orientado a realizar inversión en innovación y/o tecnología en la zona rural y urbana con enfoque diferencial.</v>
      </c>
      <c r="H20" s="274">
        <v>4000</v>
      </c>
      <c r="I20" s="275">
        <v>200</v>
      </c>
      <c r="J20" s="276">
        <v>0</v>
      </c>
      <c r="K20" s="277">
        <f t="shared" si="6"/>
        <v>0</v>
      </c>
      <c r="L20" s="278">
        <f t="shared" si="14"/>
        <v>1</v>
      </c>
      <c r="M20" s="294">
        <f t="shared" si="7"/>
        <v>0</v>
      </c>
      <c r="N20" s="280">
        <v>600</v>
      </c>
      <c r="O20" s="280">
        <v>17</v>
      </c>
      <c r="P20" s="281">
        <f t="shared" si="8"/>
        <v>2.8333333333333332E-2</v>
      </c>
      <c r="Q20" s="282">
        <f t="shared" si="9"/>
        <v>0.25</v>
      </c>
      <c r="R20" s="281">
        <f t="shared" si="0"/>
        <v>2.8333333333333332E-2</v>
      </c>
      <c r="S20" s="280">
        <v>600</v>
      </c>
      <c r="T20" s="280">
        <v>38</v>
      </c>
      <c r="U20" s="283">
        <v>0.5</v>
      </c>
      <c r="V20" s="294">
        <v>6.3333333333333339E-2</v>
      </c>
      <c r="W20" s="285">
        <v>600</v>
      </c>
      <c r="X20" s="285">
        <v>234</v>
      </c>
      <c r="Y20" s="278">
        <f t="shared" si="10"/>
        <v>0.39</v>
      </c>
      <c r="Z20" s="278">
        <v>1</v>
      </c>
      <c r="AA20" s="294">
        <f>IF(W20=0," -",IF(Y20&gt;100%,100%,Y20))</f>
        <v>0.39</v>
      </c>
      <c r="AB20" s="286">
        <f t="shared" si="12"/>
        <v>4.2500000000000003E-3</v>
      </c>
      <c r="AC20" s="285">
        <v>300</v>
      </c>
      <c r="AD20" s="285">
        <f>+'[1]PA 2022'!M14</f>
        <v>1834</v>
      </c>
      <c r="AE20" s="278">
        <f t="shared" si="1"/>
        <v>6.1133333333333333</v>
      </c>
      <c r="AF20" s="278">
        <v>1</v>
      </c>
      <c r="AG20" s="279">
        <f t="shared" si="2"/>
        <v>1</v>
      </c>
      <c r="AH20" s="285">
        <v>2569</v>
      </c>
      <c r="AI20" s="285">
        <f>SUM('PA 2023'!M14:M15)</f>
        <v>232</v>
      </c>
      <c r="AJ20" s="278">
        <f t="shared" si="3"/>
        <v>9.0307512650836905E-2</v>
      </c>
      <c r="AK20" s="278">
        <v>0.16666666666666699</v>
      </c>
      <c r="AL20" s="459">
        <f t="shared" si="4"/>
        <v>9.0307512650836905E-2</v>
      </c>
      <c r="AM20" s="287">
        <f t="shared" si="13"/>
        <v>2300</v>
      </c>
      <c r="AN20" s="288">
        <f t="shared" si="15"/>
        <v>0.57499999999999996</v>
      </c>
      <c r="AO20" s="297">
        <f t="shared" si="5"/>
        <v>0.57499999999999996</v>
      </c>
      <c r="AP20" s="289"/>
      <c r="AR20" s="300"/>
      <c r="AS20" s="299"/>
    </row>
    <row r="21" spans="2:45" ht="60.75" thickBot="1" x14ac:dyDescent="0.4">
      <c r="B21" s="431"/>
      <c r="C21" s="433"/>
      <c r="D21" s="434"/>
      <c r="E21" s="272">
        <v>43831</v>
      </c>
      <c r="F21" s="272">
        <v>44196</v>
      </c>
      <c r="G21" s="273" t="str">
        <f>+'[1]PA 2022'!E16</f>
        <v>Otorgar 6.000 créditos a emprendimientos y mipymes de orientados a capital de trabajo o destinos de inversión diferente a innovación y/o tecnología en zonas urbanas y rurales.</v>
      </c>
      <c r="H21" s="274">
        <v>6000</v>
      </c>
      <c r="I21" s="275">
        <v>1200</v>
      </c>
      <c r="J21" s="276">
        <v>2293</v>
      </c>
      <c r="K21" s="277">
        <f t="shared" si="6"/>
        <v>1.9108333333333334</v>
      </c>
      <c r="L21" s="278">
        <f t="shared" si="14"/>
        <v>1</v>
      </c>
      <c r="M21" s="279">
        <f t="shared" si="7"/>
        <v>1</v>
      </c>
      <c r="N21" s="280">
        <v>1600</v>
      </c>
      <c r="O21" s="280">
        <v>328</v>
      </c>
      <c r="P21" s="281">
        <f t="shared" si="8"/>
        <v>0.20499999999999999</v>
      </c>
      <c r="Q21" s="282">
        <f t="shared" si="9"/>
        <v>0.25</v>
      </c>
      <c r="R21" s="281">
        <f t="shared" si="0"/>
        <v>0.20499999999999999</v>
      </c>
      <c r="S21" s="280">
        <v>1600</v>
      </c>
      <c r="T21" s="280">
        <v>662</v>
      </c>
      <c r="U21" s="283">
        <v>0.5</v>
      </c>
      <c r="V21" s="284">
        <v>0.41375000000000001</v>
      </c>
      <c r="W21" s="285">
        <v>1600</v>
      </c>
      <c r="X21" s="285">
        <v>1648</v>
      </c>
      <c r="Y21" s="278">
        <f t="shared" si="10"/>
        <v>1.03</v>
      </c>
      <c r="Z21" s="278">
        <v>1</v>
      </c>
      <c r="AA21" s="279">
        <f t="shared" si="11"/>
        <v>1</v>
      </c>
      <c r="AB21" s="286">
        <f t="shared" si="12"/>
        <v>0.43683333333333335</v>
      </c>
      <c r="AC21" s="285">
        <v>1200</v>
      </c>
      <c r="AD21" s="285">
        <f>+'[1]PA 2022'!M16</f>
        <v>1520</v>
      </c>
      <c r="AE21" s="278">
        <f t="shared" si="1"/>
        <v>1.2666666666666666</v>
      </c>
      <c r="AF21" s="278">
        <v>1</v>
      </c>
      <c r="AG21" s="279">
        <f t="shared" si="2"/>
        <v>1</v>
      </c>
      <c r="AH21" s="285">
        <v>1263</v>
      </c>
      <c r="AI21" s="285">
        <f>SUM('PA 2023'!M15:M16)</f>
        <v>341</v>
      </c>
      <c r="AJ21" s="278">
        <f t="shared" si="3"/>
        <v>0.26999208234362626</v>
      </c>
      <c r="AK21" s="278">
        <v>0.16666666666666699</v>
      </c>
      <c r="AL21" s="459">
        <f t="shared" si="4"/>
        <v>0.26999208234362626</v>
      </c>
      <c r="AM21" s="287">
        <f t="shared" si="13"/>
        <v>5802</v>
      </c>
      <c r="AN21" s="288">
        <f t="shared" si="15"/>
        <v>0.96699999999999997</v>
      </c>
      <c r="AO21" s="301">
        <f t="shared" si="5"/>
        <v>0.96699999999999997</v>
      </c>
      <c r="AR21" s="300"/>
      <c r="AS21" s="299"/>
    </row>
    <row r="22" spans="2:45" ht="12.95" hidden="1" customHeight="1" x14ac:dyDescent="0.2">
      <c r="B22" s="432"/>
      <c r="C22" s="302"/>
      <c r="D22" s="271"/>
      <c r="E22" s="272"/>
      <c r="F22" s="272"/>
      <c r="G22" s="303"/>
      <c r="H22" s="274"/>
      <c r="I22" s="275"/>
      <c r="J22" s="276"/>
      <c r="K22" s="277"/>
      <c r="L22" s="278"/>
      <c r="M22" s="283"/>
      <c r="N22" s="280"/>
      <c r="O22" s="280"/>
      <c r="P22" s="281"/>
      <c r="Q22" s="281"/>
      <c r="R22" s="281"/>
      <c r="S22" s="280"/>
      <c r="T22" s="280"/>
      <c r="U22" s="283"/>
      <c r="V22" s="283"/>
      <c r="W22" s="285"/>
      <c r="X22" s="285"/>
      <c r="Y22" s="278"/>
      <c r="Z22" s="278"/>
      <c r="AA22" s="283"/>
      <c r="AB22" s="304"/>
      <c r="AC22" s="285"/>
      <c r="AD22" s="285"/>
      <c r="AE22" s="278"/>
      <c r="AF22" s="278">
        <v>1</v>
      </c>
      <c r="AG22" s="283"/>
      <c r="AH22" s="285"/>
      <c r="AI22" s="285">
        <f>'PA 2023'!M16</f>
        <v>341</v>
      </c>
      <c r="AJ22" s="278"/>
      <c r="AK22" s="278"/>
      <c r="AL22" s="283"/>
      <c r="AM22" s="287">
        <f t="shared" si="13"/>
        <v>341</v>
      </c>
      <c r="AN22" s="288" t="e">
        <f t="shared" si="15"/>
        <v>#DIV/0!</v>
      </c>
      <c r="AO22" s="282" t="e">
        <f>+AM22/H22</f>
        <v>#DIV/0!</v>
      </c>
    </row>
    <row r="23" spans="2:45" ht="66" customHeight="1" x14ac:dyDescent="0.35">
      <c r="B23" s="431"/>
      <c r="C23" s="430" t="s">
        <v>827</v>
      </c>
      <c r="D23" s="434" t="s">
        <v>828</v>
      </c>
      <c r="E23" s="272">
        <v>43831</v>
      </c>
      <c r="F23" s="272">
        <v>44196</v>
      </c>
      <c r="G23" s="273" t="str">
        <f>+'[1]PA 2022'!E18</f>
        <v>Registrar 5.000 hojas de vida para facilitar el proceso de inserción en el mercado laboral identificando habilidades, destrezas  y que competencias  para el trabajo.</v>
      </c>
      <c r="H23" s="274">
        <v>5000</v>
      </c>
      <c r="I23" s="275">
        <v>1000</v>
      </c>
      <c r="J23" s="276">
        <v>1956</v>
      </c>
      <c r="K23" s="277">
        <f>+J23/I23</f>
        <v>1.956</v>
      </c>
      <c r="L23" s="278">
        <f t="shared" si="14"/>
        <v>1</v>
      </c>
      <c r="M23" s="279">
        <f>IF(I23=0," -",IF(K23&gt;100%,100%,K23))</f>
        <v>1</v>
      </c>
      <c r="N23" s="280">
        <v>1200</v>
      </c>
      <c r="O23" s="280">
        <v>573</v>
      </c>
      <c r="P23" s="281">
        <f>+O23/N23</f>
        <v>0.47749999999999998</v>
      </c>
      <c r="Q23" s="282">
        <f>+(3*100%)/12</f>
        <v>0.25</v>
      </c>
      <c r="R23" s="281">
        <f>IF(N23=0," -",IF(P23&gt;100%,100%,P23))</f>
        <v>0.47749999999999998</v>
      </c>
      <c r="S23" s="280">
        <v>1200</v>
      </c>
      <c r="T23" s="280">
        <v>1946</v>
      </c>
      <c r="U23" s="283">
        <v>0.5</v>
      </c>
      <c r="V23" s="279">
        <v>1</v>
      </c>
      <c r="W23" s="285">
        <v>1200</v>
      </c>
      <c r="X23" s="285">
        <v>3996</v>
      </c>
      <c r="Y23" s="278">
        <f>+X23/W23</f>
        <v>3.33</v>
      </c>
      <c r="Z23" s="278">
        <v>1</v>
      </c>
      <c r="AA23" s="279">
        <f>IF(W23=0," -",IF(Y23&gt;100%,100%,Y23))</f>
        <v>1</v>
      </c>
      <c r="AB23" s="286">
        <f>(J23+O23)/H23</f>
        <v>0.50580000000000003</v>
      </c>
      <c r="AC23" s="285">
        <v>1300</v>
      </c>
      <c r="AD23" s="285">
        <f>+'[1]PA 2022'!M18</f>
        <v>6331</v>
      </c>
      <c r="AE23" s="278">
        <f>+AD23/AC23</f>
        <v>4.87</v>
      </c>
      <c r="AF23" s="278">
        <v>1</v>
      </c>
      <c r="AG23" s="279">
        <f>IF(AC23=0," -",IF(AE23&gt;100%,100%,AE23))</f>
        <v>1</v>
      </c>
      <c r="AH23" s="285">
        <v>0</v>
      </c>
      <c r="AI23" s="285">
        <f>'PA 2023'!M18</f>
        <v>1192</v>
      </c>
      <c r="AJ23" s="278" t="e">
        <f>+AI23/AH23</f>
        <v>#DIV/0!</v>
      </c>
      <c r="AK23" s="278">
        <v>0.16666666666666699</v>
      </c>
      <c r="AL23" s="279" t="str">
        <f>IF(AH23=0," -",IF(AJ23&gt;100%,100%,AJ23))</f>
        <v xml:space="preserve"> -</v>
      </c>
      <c r="AM23" s="287">
        <f>+J23+X23+AD23+AI23</f>
        <v>13475</v>
      </c>
      <c r="AN23" s="288">
        <f t="shared" si="15"/>
        <v>2.6949999999999998</v>
      </c>
      <c r="AO23" s="301">
        <f>IF(H23=0," -",IF(AN23&gt;100%,100%,AN23))</f>
        <v>1</v>
      </c>
      <c r="AP23" s="305"/>
    </row>
    <row r="24" spans="2:45" ht="57.75" customHeight="1" x14ac:dyDescent="0.35">
      <c r="B24" s="431"/>
      <c r="C24" s="431"/>
      <c r="D24" s="434"/>
      <c r="E24" s="272">
        <v>43831</v>
      </c>
      <c r="F24" s="272">
        <v>44196</v>
      </c>
      <c r="G24" s="273" t="str">
        <f>+'[1]PA 2022'!E19</f>
        <v>Formar 3.000  jóvenes y adultos en competencias  personales y/o  técnicas para el trabajo con el fin de facilitar su inserción en el mercado laboral.</v>
      </c>
      <c r="H24" s="274">
        <v>3000</v>
      </c>
      <c r="I24" s="275">
        <v>600</v>
      </c>
      <c r="J24" s="276">
        <v>1335</v>
      </c>
      <c r="K24" s="277">
        <f>+J24/I24</f>
        <v>2.2250000000000001</v>
      </c>
      <c r="L24" s="278">
        <f t="shared" si="14"/>
        <v>1</v>
      </c>
      <c r="M24" s="279">
        <f>IF(I24=0," -",IF(K24&gt;100%,100%,K24))</f>
        <v>1</v>
      </c>
      <c r="N24" s="280">
        <v>700</v>
      </c>
      <c r="O24" s="280">
        <v>180</v>
      </c>
      <c r="P24" s="281">
        <f>+O24/N24</f>
        <v>0.25714285714285712</v>
      </c>
      <c r="Q24" s="282">
        <f>+(3*100%)/12</f>
        <v>0.25</v>
      </c>
      <c r="R24" s="281">
        <f>IF(N24=0," -",IF(P24&gt;100%,100%,P24))</f>
        <v>0.25714285714285712</v>
      </c>
      <c r="S24" s="280">
        <v>700</v>
      </c>
      <c r="T24" s="280">
        <v>1220</v>
      </c>
      <c r="U24" s="283">
        <v>0.5</v>
      </c>
      <c r="V24" s="279">
        <v>1</v>
      </c>
      <c r="W24" s="285">
        <v>700</v>
      </c>
      <c r="X24" s="285">
        <v>2960</v>
      </c>
      <c r="Y24" s="278">
        <f>+X24/W24</f>
        <v>4.2285714285714286</v>
      </c>
      <c r="Z24" s="278">
        <v>1</v>
      </c>
      <c r="AA24" s="279">
        <f>IF(W24=0," -",IF(Y24&gt;100%,100%,Y24))</f>
        <v>1</v>
      </c>
      <c r="AB24" s="286">
        <f>(J24+O24)/H24</f>
        <v>0.505</v>
      </c>
      <c r="AC24" s="285">
        <v>800</v>
      </c>
      <c r="AD24" s="285">
        <f>+'[1]PA 2022'!M19</f>
        <v>4242</v>
      </c>
      <c r="AE24" s="278">
        <f>+AD24/AC24</f>
        <v>5.3025000000000002</v>
      </c>
      <c r="AF24" s="278">
        <v>1</v>
      </c>
      <c r="AG24" s="279">
        <f>IF(AC24=0," -",IF(AE24&gt;100%,100%,AE24))</f>
        <v>1</v>
      </c>
      <c r="AH24" s="285">
        <v>0</v>
      </c>
      <c r="AI24" s="285">
        <f>'PA 2023'!M19</f>
        <v>1192</v>
      </c>
      <c r="AJ24" s="278" t="e">
        <f>+AI24/AH24</f>
        <v>#DIV/0!</v>
      </c>
      <c r="AK24" s="278">
        <v>0.16666666666666699</v>
      </c>
      <c r="AL24" s="279" t="str">
        <f>IF(AH24=0," -",IF(AJ24&gt;100%,100%,AJ24))</f>
        <v xml:space="preserve"> -</v>
      </c>
      <c r="AM24" s="287">
        <f>+J24+X24+AD24+AI24</f>
        <v>9729</v>
      </c>
      <c r="AN24" s="288">
        <f t="shared" si="15"/>
        <v>3.2429999999999999</v>
      </c>
      <c r="AO24" s="301">
        <f>IF(H24=0," -",IF(AN24&gt;100%,100%,AN24))</f>
        <v>1</v>
      </c>
      <c r="AP24" s="305"/>
    </row>
    <row r="25" spans="2:45" ht="63" customHeight="1" thickBot="1" x14ac:dyDescent="0.25">
      <c r="B25" s="433"/>
      <c r="C25" s="433"/>
      <c r="D25" s="434"/>
      <c r="E25" s="272">
        <v>43831</v>
      </c>
      <c r="F25" s="272">
        <v>44196</v>
      </c>
      <c r="G25" s="273" t="str">
        <f>+'[1]PA 2022'!E21</f>
        <v>Acompañar a 1.500 empresas en el fomento de una cultura del empleo y trabajo decente para capturar  vacantes que permitan realizar la intermediación laboral.</v>
      </c>
      <c r="H25" s="274">
        <v>1500</v>
      </c>
      <c r="I25" s="275">
        <v>330</v>
      </c>
      <c r="J25" s="276">
        <f>368+32</f>
        <v>400</v>
      </c>
      <c r="K25" s="277">
        <f>+J25/I25</f>
        <v>1.2121212121212122</v>
      </c>
      <c r="L25" s="278">
        <f t="shared" si="14"/>
        <v>1</v>
      </c>
      <c r="M25" s="279">
        <f>IF(I25=0," -",IF(K25&gt;100%,100%,K25))</f>
        <v>1</v>
      </c>
      <c r="N25" s="280">
        <v>370</v>
      </c>
      <c r="O25" s="280">
        <v>70</v>
      </c>
      <c r="P25" s="281">
        <f>+O25/N25</f>
        <v>0.1891891891891892</v>
      </c>
      <c r="Q25" s="282">
        <f>+(3*100%)/12</f>
        <v>0.25</v>
      </c>
      <c r="R25" s="281">
        <f>IF(N25=0," -",IF(P25&gt;100%,100%,P25))</f>
        <v>0.1891891891891892</v>
      </c>
      <c r="S25" s="280">
        <v>370</v>
      </c>
      <c r="T25" s="280">
        <v>332</v>
      </c>
      <c r="U25" s="283">
        <v>0.5</v>
      </c>
      <c r="V25" s="279">
        <v>0.89729729729729735</v>
      </c>
      <c r="W25" s="285">
        <v>370</v>
      </c>
      <c r="X25" s="285">
        <v>1056</v>
      </c>
      <c r="Y25" s="278">
        <f>+X25/W25</f>
        <v>2.8540540540540542</v>
      </c>
      <c r="Z25" s="278">
        <v>1</v>
      </c>
      <c r="AA25" s="279">
        <f>IF(W25=0," -",IF(Y25&gt;100%,100%,Y25))</f>
        <v>1</v>
      </c>
      <c r="AB25" s="286">
        <f>(J25+O25)/H25</f>
        <v>0.31333333333333335</v>
      </c>
      <c r="AC25" s="285">
        <v>390</v>
      </c>
      <c r="AD25" s="285">
        <f>+'[1]PA 2022'!M21</f>
        <v>942</v>
      </c>
      <c r="AE25" s="278">
        <f>+AD25/AC25</f>
        <v>2.4153846153846152</v>
      </c>
      <c r="AF25" s="278">
        <v>1</v>
      </c>
      <c r="AG25" s="279">
        <f>IF(AC25=0," -",IF(AE25&gt;100%,100%,AE25))</f>
        <v>1</v>
      </c>
      <c r="AH25" s="285">
        <v>0</v>
      </c>
      <c r="AI25" s="285">
        <f>'PA 2023'!M20</f>
        <v>51</v>
      </c>
      <c r="AJ25" s="278" t="e">
        <f>+AI25/AH25</f>
        <v>#DIV/0!</v>
      </c>
      <c r="AK25" s="278">
        <v>0.16666666666666699</v>
      </c>
      <c r="AL25" s="279" t="str">
        <f>IF(AH25=0," -",IF(AJ25&gt;100%,100%,AJ25))</f>
        <v xml:space="preserve"> -</v>
      </c>
      <c r="AM25" s="287">
        <f>+J25+X25+AD25+AI25</f>
        <v>2449</v>
      </c>
      <c r="AN25" s="288">
        <f t="shared" si="15"/>
        <v>1.6326666666666667</v>
      </c>
      <c r="AO25" s="301">
        <f>IF(H25=0," -",IF(AN25&gt;100%,100%,AN25))</f>
        <v>1</v>
      </c>
    </row>
    <row r="26" spans="2:45" ht="12.95" hidden="1" customHeight="1" thickBot="1" x14ac:dyDescent="0.25">
      <c r="B26" s="306"/>
      <c r="C26" s="307"/>
      <c r="D26" s="271"/>
      <c r="E26" s="272"/>
      <c r="F26" s="272"/>
      <c r="G26" s="303"/>
      <c r="H26" s="274"/>
      <c r="I26" s="275"/>
      <c r="J26" s="276"/>
      <c r="K26" s="277"/>
      <c r="L26" s="278"/>
      <c r="M26" s="283"/>
      <c r="N26" s="280"/>
      <c r="O26" s="280"/>
      <c r="P26" s="281"/>
      <c r="Q26" s="281"/>
      <c r="R26" s="281"/>
      <c r="S26" s="280"/>
      <c r="T26" s="280"/>
      <c r="U26" s="283"/>
      <c r="V26" s="283"/>
      <c r="W26" s="285"/>
      <c r="X26" s="285"/>
      <c r="Y26" s="278"/>
      <c r="Z26" s="278"/>
      <c r="AA26" s="283"/>
      <c r="AB26" s="304"/>
      <c r="AC26" s="285"/>
      <c r="AD26" s="285"/>
      <c r="AE26" s="278"/>
      <c r="AF26" s="278">
        <v>1</v>
      </c>
      <c r="AG26" s="283"/>
      <c r="AH26" s="285">
        <v>0</v>
      </c>
      <c r="AI26" s="285">
        <f>'PA 2023'!M20</f>
        <v>51</v>
      </c>
      <c r="AJ26" s="278"/>
      <c r="AK26" s="278"/>
      <c r="AL26" s="283"/>
      <c r="AM26" s="287">
        <f t="shared" si="13"/>
        <v>51</v>
      </c>
      <c r="AN26" s="288" t="e">
        <f t="shared" si="15"/>
        <v>#DIV/0!</v>
      </c>
      <c r="AO26" s="301"/>
    </row>
    <row r="27" spans="2:45" ht="90.75" thickBot="1" x14ac:dyDescent="0.25">
      <c r="B27" s="308" t="s">
        <v>829</v>
      </c>
      <c r="C27" s="308" t="s">
        <v>830</v>
      </c>
      <c r="D27" s="271" t="s">
        <v>831</v>
      </c>
      <c r="E27" s="272">
        <v>43831</v>
      </c>
      <c r="F27" s="272">
        <v>44196</v>
      </c>
      <c r="G27" s="273" t="str">
        <f>+'[1]PA 2022'!E22</f>
        <v>Mantener en funcionamiento el 100% de los programas del Instituto Municipal del Empleo.</v>
      </c>
      <c r="H27" s="309">
        <v>1</v>
      </c>
      <c r="I27" s="293">
        <v>1</v>
      </c>
      <c r="J27" s="278">
        <v>1</v>
      </c>
      <c r="K27" s="277">
        <f>+J27/I27</f>
        <v>1</v>
      </c>
      <c r="L27" s="278">
        <f t="shared" si="14"/>
        <v>1</v>
      </c>
      <c r="M27" s="279">
        <f>IF(I27=0," -",IF(K27&gt;100%,100%,K27))</f>
        <v>1</v>
      </c>
      <c r="N27" s="280">
        <v>1</v>
      </c>
      <c r="O27" s="280">
        <v>1</v>
      </c>
      <c r="P27" s="281">
        <f>+O27/N27</f>
        <v>1</v>
      </c>
      <c r="Q27" s="282">
        <v>0.25</v>
      </c>
      <c r="R27" s="281">
        <f>IF(N27=0," -",IF(P27&gt;100%,100%,P27))</f>
        <v>1</v>
      </c>
      <c r="S27" s="282">
        <v>1</v>
      </c>
      <c r="T27" s="280">
        <v>1</v>
      </c>
      <c r="U27" s="283">
        <v>0.5</v>
      </c>
      <c r="V27" s="279">
        <v>1</v>
      </c>
      <c r="W27" s="295">
        <v>1</v>
      </c>
      <c r="X27" s="295">
        <v>1</v>
      </c>
      <c r="Y27" s="278">
        <f>+X27/W27</f>
        <v>1</v>
      </c>
      <c r="Z27" s="278">
        <v>1</v>
      </c>
      <c r="AA27" s="279">
        <f>IF(W27=0," -",IF(Y27&gt;100%,100%,Y27))</f>
        <v>1</v>
      </c>
      <c r="AB27" s="310">
        <v>1</v>
      </c>
      <c r="AC27" s="295">
        <v>1</v>
      </c>
      <c r="AD27" s="295">
        <v>1</v>
      </c>
      <c r="AE27" s="278">
        <f>+AD27/AC27</f>
        <v>1</v>
      </c>
      <c r="AF27" s="278">
        <v>1</v>
      </c>
      <c r="AG27" s="279">
        <f>IF(AC27=0," -",IF(AE27&gt;100%,100%,AE27))</f>
        <v>1</v>
      </c>
      <c r="AH27" s="295">
        <v>1</v>
      </c>
      <c r="AI27" s="295">
        <f>'PA 2023'!M21</f>
        <v>1</v>
      </c>
      <c r="AJ27" s="278">
        <f>+AI27/AH27</f>
        <v>1</v>
      </c>
      <c r="AK27" s="278">
        <v>0.16666666666666699</v>
      </c>
      <c r="AL27" s="279">
        <f>IF(AH27=0," -",IF(AJ27&gt;100%,100%,AJ27))</f>
        <v>1</v>
      </c>
      <c r="AM27" s="287">
        <f>+J27+X27+AD27+AI27</f>
        <v>4</v>
      </c>
      <c r="AN27" s="288">
        <f t="shared" si="15"/>
        <v>4</v>
      </c>
      <c r="AO27" s="301">
        <f>IF(H27=0," -",IF(AN27&gt;100%,100%,AN27))</f>
        <v>1</v>
      </c>
    </row>
    <row r="28" spans="2:45" ht="21" customHeight="1" x14ac:dyDescent="0.2">
      <c r="D28" s="311"/>
      <c r="E28" s="312"/>
      <c r="F28" s="312"/>
      <c r="G28" s="311"/>
      <c r="H28" s="313"/>
      <c r="I28" s="314"/>
      <c r="J28" s="314"/>
      <c r="K28" s="315"/>
      <c r="L28" s="316">
        <f>+AVERAGE(L15:L21,L23:L25,L27)</f>
        <v>1</v>
      </c>
      <c r="M28" s="316">
        <f>+AVERAGE(M15:M21,M23:M25,M27)</f>
        <v>0.90909090909090906</v>
      </c>
      <c r="N28" s="316"/>
      <c r="O28" s="317"/>
      <c r="P28" s="316"/>
      <c r="Q28" s="316"/>
      <c r="R28" s="316"/>
      <c r="S28" s="318"/>
      <c r="T28" s="318"/>
      <c r="U28" s="316"/>
      <c r="V28" s="316"/>
      <c r="W28" s="318"/>
      <c r="X28" s="316"/>
      <c r="Y28" s="316"/>
      <c r="Z28" s="316"/>
      <c r="AA28" s="316">
        <f>+AVERAGE(AA15:AA21,AA23:AA25,AA27)</f>
        <v>0.94454545454545458</v>
      </c>
      <c r="AB28" s="317"/>
      <c r="AC28" s="319"/>
      <c r="AD28" s="319"/>
      <c r="AE28" s="319"/>
      <c r="AF28" s="319"/>
      <c r="AG28" s="320">
        <f>+AVERAGE(AG15:AG27)</f>
        <v>1</v>
      </c>
      <c r="AH28" s="319"/>
      <c r="AI28" s="319"/>
      <c r="AJ28" s="319"/>
      <c r="AK28" s="319"/>
      <c r="AL28" s="320">
        <f>+AVERAGE(AL15:AL27)</f>
        <v>0.38025785304836413</v>
      </c>
      <c r="AM28" s="321"/>
      <c r="AN28" s="321"/>
      <c r="AO28" s="320">
        <f>+AVERAGE(AO15,AO16,AO17,AO18,AO19,AO20,AO21,AO23,AO24,AO25,AO27)</f>
        <v>0.87305454545454542</v>
      </c>
    </row>
    <row r="29" spans="2:45" ht="181.5" customHeight="1" x14ac:dyDescent="0.2">
      <c r="D29" s="298" t="s">
        <v>832</v>
      </c>
      <c r="E29" s="322"/>
      <c r="F29" s="322"/>
      <c r="H29" s="323"/>
      <c r="I29" s="323"/>
      <c r="J29" s="323"/>
      <c r="K29" s="324"/>
      <c r="L29" s="324"/>
      <c r="M29" s="324"/>
      <c r="N29" s="324"/>
      <c r="O29" s="325"/>
      <c r="P29" s="324"/>
      <c r="Q29" s="324"/>
      <c r="R29" s="324"/>
      <c r="S29" s="324"/>
      <c r="T29" s="324"/>
      <c r="U29" s="324"/>
      <c r="V29" s="324"/>
      <c r="W29" s="324"/>
      <c r="X29" s="324"/>
      <c r="Y29" s="324"/>
      <c r="Z29" s="324"/>
      <c r="AA29" s="324"/>
      <c r="AB29" s="325"/>
      <c r="AC29" s="325"/>
      <c r="AD29" s="325"/>
      <c r="AE29" s="325"/>
      <c r="AF29" s="325"/>
      <c r="AG29" s="325"/>
      <c r="AH29" s="325"/>
      <c r="AI29" s="325"/>
      <c r="AJ29" s="325"/>
      <c r="AK29" s="325"/>
      <c r="AL29" s="325"/>
      <c r="AM29" s="325"/>
      <c r="AN29" s="325"/>
    </row>
    <row r="30" spans="2:45" x14ac:dyDescent="0.2">
      <c r="E30" s="322"/>
      <c r="F30" s="322"/>
      <c r="H30" s="323"/>
      <c r="I30" s="323"/>
      <c r="J30" s="323"/>
      <c r="K30" s="324"/>
      <c r="L30" s="324"/>
      <c r="M30" s="324"/>
      <c r="N30" s="324"/>
      <c r="O30" s="324"/>
      <c r="P30" s="324"/>
      <c r="Q30" s="324"/>
      <c r="R30" s="324"/>
      <c r="S30" s="324"/>
      <c r="T30" s="324"/>
      <c r="U30" s="324"/>
      <c r="V30" s="324"/>
      <c r="W30" s="324"/>
      <c r="X30" s="324"/>
      <c r="Y30" s="324"/>
      <c r="Z30" s="324"/>
      <c r="AA30" s="324"/>
      <c r="AB30" s="324"/>
      <c r="AC30" s="324"/>
      <c r="AD30" s="324"/>
      <c r="AE30" s="324"/>
      <c r="AF30" s="324"/>
      <c r="AG30" s="324">
        <f>+AVERAGE(AG15,AG16,AG17,AG18,AG19,AG20,AG21,AG23,AG24,AG25,AG27)</f>
        <v>1</v>
      </c>
      <c r="AH30" s="324"/>
      <c r="AI30" s="324"/>
      <c r="AJ30" s="324"/>
      <c r="AK30" s="324"/>
      <c r="AL30" s="324">
        <f>+AVERAGE(AL15,AL16,AL17,AL18,AL19,AL20,AL21,AL23,AL24,AL25,AL27)</f>
        <v>0.38025785304836413</v>
      </c>
      <c r="AM30" s="324"/>
      <c r="AN30" s="324"/>
    </row>
    <row r="31" spans="2:45" x14ac:dyDescent="0.2">
      <c r="E31" s="322"/>
      <c r="F31" s="322"/>
      <c r="H31" s="323"/>
      <c r="I31" s="323"/>
      <c r="J31" s="323"/>
      <c r="K31" s="324"/>
      <c r="L31" s="324"/>
      <c r="M31" s="324"/>
      <c r="N31" s="324"/>
      <c r="O31" s="324"/>
      <c r="P31" s="324"/>
      <c r="Q31" s="324"/>
      <c r="R31" s="324"/>
      <c r="S31" s="324"/>
      <c r="T31" s="324"/>
      <c r="U31" s="324"/>
      <c r="V31" s="324"/>
      <c r="W31" s="324"/>
      <c r="X31" s="324"/>
      <c r="Y31" s="324"/>
      <c r="Z31" s="324"/>
      <c r="AA31" s="324"/>
      <c r="AB31" s="324"/>
      <c r="AC31" s="324"/>
      <c r="AD31" s="324"/>
      <c r="AE31" s="324"/>
      <c r="AF31" s="324"/>
      <c r="AG31" s="324"/>
      <c r="AH31" s="324"/>
      <c r="AI31" s="324"/>
      <c r="AJ31" s="324"/>
      <c r="AK31" s="324"/>
      <c r="AL31" s="324"/>
      <c r="AM31" s="324"/>
      <c r="AN31" s="324"/>
    </row>
    <row r="32" spans="2:45" x14ac:dyDescent="0.2">
      <c r="E32" s="322"/>
      <c r="F32" s="322"/>
      <c r="H32" s="323"/>
      <c r="I32" s="323"/>
      <c r="J32" s="323"/>
      <c r="K32" s="324"/>
      <c r="L32" s="324"/>
      <c r="M32" s="324"/>
      <c r="N32" s="324"/>
      <c r="O32" s="324"/>
      <c r="P32" s="324"/>
      <c r="Q32" s="324"/>
      <c r="R32" s="324"/>
      <c r="S32" s="324"/>
      <c r="T32" s="324"/>
      <c r="U32" s="324"/>
      <c r="V32" s="324"/>
      <c r="W32" s="324"/>
      <c r="X32" s="324"/>
      <c r="Y32" s="324"/>
      <c r="Z32" s="324"/>
      <c r="AA32" s="324"/>
      <c r="AB32" s="324"/>
      <c r="AC32" s="324"/>
      <c r="AD32" s="324"/>
      <c r="AE32" s="324"/>
      <c r="AF32" s="324"/>
      <c r="AG32" s="324"/>
      <c r="AH32" s="324"/>
      <c r="AI32" s="324"/>
      <c r="AJ32" s="324"/>
      <c r="AK32" s="324"/>
      <c r="AL32" s="324"/>
      <c r="AM32" s="324"/>
      <c r="AN32" s="324"/>
    </row>
    <row r="33" spans="5:40" x14ac:dyDescent="0.2">
      <c r="E33" s="322"/>
      <c r="F33" s="322"/>
      <c r="H33" s="323"/>
      <c r="I33" s="323"/>
      <c r="J33" s="323"/>
      <c r="K33" s="324"/>
      <c r="L33" s="324"/>
      <c r="M33" s="324"/>
      <c r="N33" s="324"/>
      <c r="O33" s="324"/>
      <c r="P33" s="324"/>
      <c r="Q33" s="324"/>
      <c r="R33" s="324"/>
      <c r="S33" s="324"/>
      <c r="T33" s="324"/>
      <c r="U33" s="324"/>
      <c r="V33" s="324"/>
      <c r="W33" s="324"/>
      <c r="X33" s="324"/>
      <c r="Y33" s="324"/>
      <c r="Z33" s="324"/>
      <c r="AA33" s="324"/>
      <c r="AB33" s="324"/>
      <c r="AC33" s="324"/>
      <c r="AD33" s="324"/>
      <c r="AE33" s="324"/>
      <c r="AF33" s="324"/>
      <c r="AG33" s="324"/>
      <c r="AH33" s="324"/>
      <c r="AI33" s="324"/>
      <c r="AJ33" s="324"/>
      <c r="AK33" s="324"/>
      <c r="AL33" s="324"/>
      <c r="AM33" s="324"/>
      <c r="AN33" s="324"/>
    </row>
    <row r="34" spans="5:40" x14ac:dyDescent="0.2">
      <c r="E34" s="322"/>
      <c r="F34" s="322"/>
      <c r="H34" s="323"/>
      <c r="I34" s="323"/>
      <c r="J34" s="323"/>
      <c r="K34" s="324"/>
      <c r="L34" s="324"/>
      <c r="M34" s="324"/>
      <c r="N34" s="324"/>
      <c r="O34" s="324"/>
      <c r="P34" s="324"/>
      <c r="Q34" s="324"/>
      <c r="R34" s="324"/>
      <c r="S34" s="324"/>
      <c r="T34" s="324"/>
      <c r="U34" s="324"/>
      <c r="V34" s="324"/>
      <c r="W34" s="324"/>
      <c r="X34" s="324"/>
      <c r="Y34" s="324"/>
      <c r="Z34" s="324"/>
      <c r="AA34" s="324"/>
      <c r="AB34" s="324"/>
      <c r="AC34" s="324"/>
      <c r="AD34" s="324"/>
      <c r="AE34" s="324"/>
      <c r="AF34" s="324"/>
      <c r="AG34" s="324"/>
      <c r="AH34" s="324"/>
      <c r="AI34" s="324"/>
      <c r="AJ34" s="324"/>
      <c r="AK34" s="324"/>
      <c r="AL34" s="324"/>
      <c r="AM34" s="324"/>
      <c r="AN34" s="324"/>
    </row>
    <row r="35" spans="5:40" x14ac:dyDescent="0.2">
      <c r="E35" s="322"/>
      <c r="F35" s="322"/>
      <c r="H35" s="323"/>
      <c r="I35" s="323"/>
      <c r="J35" s="323"/>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4"/>
      <c r="AL35" s="324"/>
      <c r="AM35" s="324"/>
      <c r="AN35" s="324"/>
    </row>
    <row r="36" spans="5:40" x14ac:dyDescent="0.2">
      <c r="E36" s="322"/>
      <c r="F36" s="322"/>
      <c r="H36" s="323"/>
      <c r="I36" s="323"/>
      <c r="J36" s="323"/>
      <c r="K36" s="324"/>
      <c r="L36" s="324"/>
      <c r="M36" s="324"/>
      <c r="N36" s="324"/>
      <c r="O36" s="324"/>
      <c r="P36" s="324"/>
      <c r="Q36" s="324"/>
      <c r="R36" s="324"/>
      <c r="S36" s="324"/>
      <c r="T36" s="324"/>
      <c r="U36" s="324"/>
      <c r="V36" s="324"/>
      <c r="W36" s="324"/>
      <c r="X36" s="324"/>
      <c r="Y36" s="324"/>
      <c r="Z36" s="324"/>
      <c r="AA36" s="324"/>
      <c r="AB36" s="324"/>
      <c r="AC36" s="324"/>
      <c r="AD36" s="324"/>
      <c r="AE36" s="324"/>
      <c r="AF36" s="324"/>
      <c r="AG36" s="324"/>
      <c r="AH36" s="324"/>
      <c r="AI36" s="324"/>
      <c r="AJ36" s="324"/>
      <c r="AK36" s="324"/>
      <c r="AL36" s="324"/>
      <c r="AM36" s="324"/>
      <c r="AN36" s="324"/>
    </row>
    <row r="37" spans="5:40" x14ac:dyDescent="0.2">
      <c r="E37" s="322"/>
      <c r="F37" s="322"/>
      <c r="H37" s="323"/>
      <c r="I37" s="323"/>
      <c r="J37" s="323"/>
      <c r="K37" s="324"/>
      <c r="L37" s="324"/>
      <c r="M37" s="324"/>
      <c r="N37" s="324"/>
      <c r="O37" s="324"/>
      <c r="P37" s="324"/>
      <c r="Q37" s="324"/>
      <c r="R37" s="324"/>
      <c r="S37" s="324"/>
      <c r="T37" s="324"/>
      <c r="U37" s="324"/>
      <c r="V37" s="324"/>
      <c r="W37" s="324"/>
      <c r="X37" s="324"/>
      <c r="Y37" s="324"/>
      <c r="Z37" s="324"/>
      <c r="AA37" s="324"/>
      <c r="AB37" s="324"/>
      <c r="AC37" s="324"/>
      <c r="AD37" s="324"/>
      <c r="AE37" s="324"/>
      <c r="AF37" s="324"/>
      <c r="AG37" s="324"/>
      <c r="AH37" s="324"/>
      <c r="AI37" s="324"/>
      <c r="AJ37" s="324"/>
      <c r="AK37" s="324"/>
      <c r="AL37" s="324"/>
      <c r="AM37" s="324"/>
      <c r="AN37" s="324"/>
    </row>
    <row r="38" spans="5:40" x14ac:dyDescent="0.2">
      <c r="E38" s="322"/>
      <c r="F38" s="322"/>
      <c r="H38" s="323"/>
      <c r="I38" s="323"/>
      <c r="J38" s="323"/>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row>
    <row r="39" spans="5:40" x14ac:dyDescent="0.2">
      <c r="E39" s="322"/>
      <c r="F39" s="322"/>
      <c r="H39" s="323"/>
      <c r="I39" s="323"/>
      <c r="J39" s="323"/>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c r="AJ39" s="324"/>
      <c r="AK39" s="324"/>
      <c r="AL39" s="324"/>
      <c r="AM39" s="324"/>
      <c r="AN39" s="324"/>
    </row>
    <row r="40" spans="5:40" x14ac:dyDescent="0.2">
      <c r="E40" s="322"/>
      <c r="F40" s="322"/>
      <c r="H40" s="323"/>
      <c r="I40" s="323"/>
      <c r="J40" s="323"/>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row>
    <row r="41" spans="5:40" x14ac:dyDescent="0.2">
      <c r="E41" s="322"/>
      <c r="F41" s="322"/>
      <c r="H41" s="323"/>
      <c r="I41" s="323"/>
      <c r="J41" s="323"/>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row>
    <row r="42" spans="5:40" x14ac:dyDescent="0.2">
      <c r="E42" s="322"/>
      <c r="F42" s="322"/>
      <c r="H42" s="323"/>
      <c r="I42" s="323"/>
      <c r="J42" s="323"/>
      <c r="K42" s="324"/>
      <c r="L42" s="324"/>
      <c r="M42" s="324"/>
      <c r="N42" s="324"/>
      <c r="O42" s="324"/>
      <c r="P42" s="324"/>
      <c r="Q42" s="324"/>
      <c r="R42" s="324"/>
      <c r="S42" s="324"/>
      <c r="T42" s="324"/>
      <c r="U42" s="324"/>
      <c r="V42" s="324"/>
      <c r="W42" s="324"/>
      <c r="X42" s="324"/>
      <c r="Y42" s="324"/>
      <c r="Z42" s="324"/>
      <c r="AA42" s="324"/>
      <c r="AB42" s="324"/>
      <c r="AC42" s="324"/>
      <c r="AD42" s="324"/>
      <c r="AE42" s="324"/>
      <c r="AF42" s="324"/>
      <c r="AG42" s="324"/>
      <c r="AH42" s="324"/>
      <c r="AI42" s="324"/>
      <c r="AJ42" s="324"/>
      <c r="AK42" s="324"/>
      <c r="AL42" s="324"/>
      <c r="AM42" s="324"/>
      <c r="AN42" s="324"/>
    </row>
    <row r="43" spans="5:40" x14ac:dyDescent="0.2">
      <c r="E43" s="322"/>
      <c r="F43" s="322"/>
      <c r="H43" s="323"/>
      <c r="I43" s="323"/>
      <c r="J43" s="323"/>
      <c r="K43" s="324"/>
      <c r="L43" s="324"/>
      <c r="M43" s="324"/>
      <c r="N43" s="324"/>
      <c r="O43" s="324"/>
      <c r="P43" s="324"/>
      <c r="Q43" s="324"/>
      <c r="R43" s="324"/>
      <c r="S43" s="324"/>
      <c r="T43" s="324"/>
      <c r="U43" s="324"/>
      <c r="V43" s="324"/>
      <c r="W43" s="324"/>
      <c r="X43" s="324"/>
      <c r="Y43" s="324"/>
      <c r="Z43" s="324"/>
      <c r="AA43" s="324"/>
      <c r="AB43" s="324"/>
      <c r="AC43" s="324"/>
      <c r="AD43" s="324"/>
      <c r="AE43" s="324"/>
      <c r="AF43" s="324"/>
      <c r="AG43" s="324"/>
      <c r="AH43" s="324"/>
      <c r="AI43" s="324"/>
      <c r="AJ43" s="324"/>
      <c r="AK43" s="324"/>
      <c r="AL43" s="324"/>
      <c r="AM43" s="324"/>
      <c r="AN43" s="324"/>
    </row>
    <row r="44" spans="5:40" x14ac:dyDescent="0.2">
      <c r="E44" s="322"/>
      <c r="F44" s="322"/>
      <c r="H44" s="323"/>
      <c r="I44" s="323"/>
      <c r="J44" s="323"/>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4"/>
      <c r="AI44" s="324"/>
      <c r="AJ44" s="324"/>
      <c r="AK44" s="324"/>
      <c r="AL44" s="324"/>
      <c r="AM44" s="324"/>
      <c r="AN44" s="324"/>
    </row>
    <row r="45" spans="5:40" x14ac:dyDescent="0.2">
      <c r="E45" s="322"/>
      <c r="F45" s="322"/>
      <c r="H45" s="323"/>
      <c r="I45" s="323"/>
      <c r="J45" s="323"/>
      <c r="K45" s="324"/>
      <c r="L45" s="324"/>
      <c r="M45" s="324"/>
      <c r="N45" s="324"/>
      <c r="O45" s="324"/>
      <c r="P45" s="324"/>
      <c r="Q45" s="324"/>
      <c r="R45" s="324"/>
      <c r="S45" s="324"/>
      <c r="T45" s="324"/>
      <c r="U45" s="324"/>
      <c r="V45" s="324"/>
      <c r="W45" s="324"/>
      <c r="X45" s="324"/>
      <c r="Y45" s="324"/>
      <c r="Z45" s="324"/>
      <c r="AA45" s="324"/>
      <c r="AB45" s="324"/>
      <c r="AC45" s="324"/>
      <c r="AD45" s="324"/>
      <c r="AE45" s="324"/>
      <c r="AF45" s="324"/>
      <c r="AG45" s="324"/>
      <c r="AH45" s="324"/>
      <c r="AI45" s="324"/>
      <c r="AJ45" s="324"/>
      <c r="AK45" s="324"/>
      <c r="AL45" s="324"/>
      <c r="AM45" s="324"/>
      <c r="AN45" s="324"/>
    </row>
    <row r="46" spans="5:40" x14ac:dyDescent="0.2">
      <c r="E46" s="322"/>
      <c r="F46" s="322"/>
      <c r="H46" s="323"/>
      <c r="I46" s="323"/>
      <c r="J46" s="323"/>
      <c r="K46" s="324"/>
      <c r="L46" s="324"/>
      <c r="M46" s="324"/>
      <c r="N46" s="324"/>
      <c r="O46" s="324"/>
      <c r="P46" s="324"/>
      <c r="Q46" s="324"/>
      <c r="R46" s="324"/>
      <c r="S46" s="324"/>
      <c r="T46" s="324"/>
      <c r="U46" s="324"/>
      <c r="V46" s="324"/>
      <c r="W46" s="324"/>
      <c r="X46" s="324"/>
      <c r="Y46" s="324"/>
      <c r="Z46" s="324"/>
      <c r="AA46" s="324"/>
      <c r="AB46" s="324"/>
      <c r="AC46" s="324"/>
      <c r="AD46" s="324"/>
      <c r="AE46" s="324"/>
      <c r="AF46" s="324"/>
      <c r="AG46" s="324"/>
      <c r="AH46" s="324"/>
      <c r="AI46" s="324"/>
      <c r="AJ46" s="324"/>
      <c r="AK46" s="324"/>
      <c r="AL46" s="324"/>
      <c r="AM46" s="324"/>
      <c r="AN46" s="324"/>
    </row>
    <row r="47" spans="5:40" x14ac:dyDescent="0.2">
      <c r="E47" s="322"/>
      <c r="F47" s="322"/>
      <c r="H47" s="323"/>
      <c r="I47" s="323"/>
      <c r="J47" s="323"/>
      <c r="K47" s="324"/>
      <c r="L47" s="324"/>
      <c r="M47" s="324"/>
      <c r="N47" s="324"/>
      <c r="O47" s="324"/>
      <c r="P47" s="324"/>
      <c r="Q47" s="324"/>
      <c r="R47" s="324"/>
      <c r="S47" s="324"/>
      <c r="T47" s="324"/>
      <c r="U47" s="324"/>
      <c r="V47" s="324"/>
      <c r="W47" s="324"/>
      <c r="X47" s="324"/>
      <c r="Y47" s="324"/>
      <c r="Z47" s="324"/>
      <c r="AA47" s="324"/>
      <c r="AB47" s="324"/>
      <c r="AC47" s="324"/>
      <c r="AD47" s="324"/>
      <c r="AE47" s="324"/>
      <c r="AF47" s="324"/>
      <c r="AG47" s="324"/>
      <c r="AH47" s="324"/>
      <c r="AI47" s="324"/>
      <c r="AJ47" s="324"/>
      <c r="AK47" s="324"/>
      <c r="AL47" s="324"/>
      <c r="AM47" s="324"/>
      <c r="AN47" s="324"/>
    </row>
    <row r="48" spans="5:40" x14ac:dyDescent="0.2">
      <c r="E48" s="322"/>
      <c r="F48" s="322"/>
      <c r="H48" s="323"/>
      <c r="I48" s="323"/>
      <c r="J48" s="323"/>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4"/>
      <c r="AI48" s="324"/>
      <c r="AJ48" s="324"/>
      <c r="AK48" s="324"/>
      <c r="AL48" s="324"/>
      <c r="AM48" s="324"/>
      <c r="AN48" s="324"/>
    </row>
    <row r="49" spans="5:40" x14ac:dyDescent="0.2">
      <c r="E49" s="322"/>
      <c r="F49" s="322"/>
      <c r="H49" s="323"/>
      <c r="I49" s="323"/>
      <c r="J49" s="323"/>
      <c r="K49" s="324"/>
      <c r="L49" s="324"/>
      <c r="M49" s="324"/>
      <c r="N49" s="324"/>
      <c r="O49" s="324"/>
      <c r="P49" s="324"/>
      <c r="Q49" s="324"/>
      <c r="R49" s="324"/>
      <c r="S49" s="324"/>
      <c r="T49" s="324"/>
      <c r="U49" s="324"/>
      <c r="V49" s="324"/>
      <c r="W49" s="324"/>
      <c r="X49" s="324"/>
      <c r="Y49" s="324"/>
      <c r="Z49" s="324"/>
      <c r="AA49" s="324"/>
      <c r="AB49" s="324"/>
      <c r="AC49" s="324"/>
      <c r="AD49" s="324"/>
      <c r="AE49" s="324"/>
      <c r="AF49" s="324"/>
      <c r="AG49" s="324"/>
      <c r="AH49" s="324"/>
      <c r="AI49" s="324"/>
      <c r="AJ49" s="324"/>
      <c r="AK49" s="324"/>
      <c r="AL49" s="324"/>
      <c r="AM49" s="324"/>
      <c r="AN49" s="324"/>
    </row>
    <row r="50" spans="5:40" x14ac:dyDescent="0.2">
      <c r="E50" s="322"/>
      <c r="F50" s="322"/>
      <c r="H50" s="323"/>
      <c r="I50" s="323"/>
      <c r="J50" s="323"/>
      <c r="K50" s="324"/>
      <c r="L50" s="324"/>
      <c r="M50" s="324"/>
      <c r="N50" s="324"/>
      <c r="O50" s="324"/>
      <c r="P50" s="324"/>
      <c r="Q50" s="324"/>
      <c r="R50" s="324"/>
      <c r="S50" s="324"/>
      <c r="T50" s="324"/>
      <c r="U50" s="324"/>
      <c r="V50" s="324"/>
      <c r="W50" s="324"/>
      <c r="X50" s="324"/>
      <c r="Y50" s="324"/>
      <c r="Z50" s="324"/>
      <c r="AA50" s="324"/>
      <c r="AB50" s="324"/>
      <c r="AC50" s="324"/>
      <c r="AD50" s="324"/>
      <c r="AE50" s="324"/>
      <c r="AF50" s="324"/>
      <c r="AG50" s="324"/>
      <c r="AH50" s="324"/>
      <c r="AI50" s="324"/>
      <c r="AJ50" s="324"/>
      <c r="AK50" s="324"/>
      <c r="AL50" s="324"/>
      <c r="AM50" s="324"/>
      <c r="AN50" s="324"/>
    </row>
    <row r="51" spans="5:40" x14ac:dyDescent="0.2">
      <c r="E51" s="322"/>
      <c r="F51" s="322"/>
      <c r="H51" s="323"/>
      <c r="I51" s="323"/>
      <c r="J51" s="323"/>
      <c r="K51" s="324"/>
      <c r="L51" s="324"/>
      <c r="M51" s="324"/>
      <c r="N51" s="324"/>
      <c r="O51" s="324"/>
      <c r="P51" s="324"/>
      <c r="Q51" s="324"/>
      <c r="R51" s="324"/>
      <c r="S51" s="324"/>
      <c r="T51" s="324"/>
      <c r="U51" s="324"/>
      <c r="V51" s="324"/>
      <c r="W51" s="324"/>
      <c r="X51" s="324"/>
      <c r="Y51" s="324"/>
      <c r="Z51" s="324"/>
      <c r="AA51" s="324"/>
      <c r="AB51" s="324"/>
      <c r="AC51" s="324"/>
      <c r="AD51" s="324"/>
      <c r="AE51" s="324"/>
      <c r="AF51" s="324"/>
      <c r="AG51" s="324"/>
      <c r="AH51" s="324"/>
      <c r="AI51" s="324"/>
      <c r="AJ51" s="324"/>
      <c r="AK51" s="324"/>
      <c r="AL51" s="324"/>
      <c r="AM51" s="324"/>
      <c r="AN51" s="324"/>
    </row>
    <row r="52" spans="5:40" x14ac:dyDescent="0.2">
      <c r="E52" s="322"/>
      <c r="F52" s="322"/>
      <c r="H52" s="323"/>
      <c r="I52" s="323"/>
      <c r="J52" s="323"/>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row>
    <row r="53" spans="5:40" x14ac:dyDescent="0.2">
      <c r="E53" s="322"/>
      <c r="F53" s="322"/>
      <c r="H53" s="323"/>
      <c r="I53" s="323"/>
      <c r="J53" s="323"/>
      <c r="K53" s="324"/>
      <c r="L53" s="324"/>
      <c r="M53" s="324"/>
      <c r="N53" s="324"/>
      <c r="O53" s="324"/>
      <c r="P53" s="324"/>
      <c r="Q53" s="324"/>
      <c r="R53" s="324"/>
      <c r="S53" s="324"/>
      <c r="T53" s="324"/>
      <c r="U53" s="324"/>
      <c r="V53" s="324"/>
      <c r="W53" s="324"/>
      <c r="X53" s="324"/>
      <c r="Y53" s="324"/>
      <c r="Z53" s="324"/>
      <c r="AA53" s="324"/>
      <c r="AB53" s="324"/>
      <c r="AC53" s="324"/>
      <c r="AD53" s="324"/>
      <c r="AE53" s="324"/>
      <c r="AF53" s="324"/>
      <c r="AG53" s="324"/>
      <c r="AH53" s="324"/>
      <c r="AI53" s="324"/>
      <c r="AJ53" s="324"/>
      <c r="AK53" s="324"/>
      <c r="AL53" s="324"/>
      <c r="AM53" s="324"/>
      <c r="AN53" s="324"/>
    </row>
    <row r="54" spans="5:40" x14ac:dyDescent="0.2">
      <c r="E54" s="322"/>
      <c r="F54" s="322"/>
      <c r="H54" s="323"/>
      <c r="I54" s="323"/>
      <c r="J54" s="323"/>
      <c r="K54" s="324"/>
      <c r="L54" s="324"/>
      <c r="M54" s="324"/>
      <c r="N54" s="324"/>
      <c r="O54" s="324"/>
      <c r="P54" s="324"/>
      <c r="Q54" s="324"/>
      <c r="R54" s="324"/>
      <c r="S54" s="324"/>
      <c r="T54" s="324"/>
      <c r="U54" s="324"/>
      <c r="V54" s="324"/>
      <c r="W54" s="324"/>
      <c r="X54" s="324"/>
      <c r="Y54" s="324"/>
      <c r="Z54" s="324"/>
      <c r="AA54" s="324"/>
      <c r="AB54" s="324"/>
      <c r="AC54" s="324"/>
      <c r="AD54" s="324"/>
      <c r="AE54" s="324"/>
      <c r="AF54" s="324"/>
      <c r="AG54" s="324"/>
      <c r="AH54" s="324"/>
      <c r="AI54" s="324"/>
      <c r="AJ54" s="324"/>
      <c r="AK54" s="324"/>
      <c r="AL54" s="324"/>
      <c r="AM54" s="324"/>
      <c r="AN54" s="324"/>
    </row>
    <row r="55" spans="5:40" x14ac:dyDescent="0.2">
      <c r="E55" s="322"/>
      <c r="F55" s="322"/>
      <c r="H55" s="323"/>
      <c r="I55" s="323"/>
      <c r="J55" s="323"/>
      <c r="K55" s="324"/>
      <c r="L55" s="324"/>
      <c r="M55" s="324"/>
      <c r="N55" s="324"/>
      <c r="O55" s="324"/>
      <c r="P55" s="324"/>
      <c r="Q55" s="324"/>
      <c r="R55" s="324"/>
      <c r="S55" s="324"/>
      <c r="T55" s="324"/>
      <c r="U55" s="324"/>
      <c r="V55" s="324"/>
      <c r="W55" s="324"/>
      <c r="X55" s="324"/>
      <c r="Y55" s="324"/>
      <c r="Z55" s="324"/>
      <c r="AA55" s="324"/>
      <c r="AB55" s="324"/>
      <c r="AC55" s="324"/>
      <c r="AD55" s="324"/>
      <c r="AE55" s="324"/>
      <c r="AF55" s="324"/>
      <c r="AG55" s="324"/>
      <c r="AH55" s="324"/>
      <c r="AI55" s="324"/>
      <c r="AJ55" s="324"/>
      <c r="AK55" s="324"/>
      <c r="AL55" s="324"/>
      <c r="AM55" s="324"/>
      <c r="AN55" s="324"/>
    </row>
    <row r="56" spans="5:40" x14ac:dyDescent="0.2">
      <c r="E56" s="322"/>
      <c r="F56" s="322"/>
      <c r="H56" s="323"/>
      <c r="I56" s="323"/>
      <c r="J56" s="323"/>
      <c r="K56" s="324"/>
      <c r="L56" s="324"/>
      <c r="M56" s="324"/>
      <c r="N56" s="324"/>
      <c r="O56" s="324"/>
      <c r="P56" s="324"/>
      <c r="Q56" s="324"/>
      <c r="R56" s="324"/>
      <c r="S56" s="324"/>
      <c r="T56" s="324"/>
      <c r="U56" s="324"/>
      <c r="V56" s="324"/>
      <c r="W56" s="324"/>
      <c r="X56" s="324"/>
      <c r="Y56" s="324"/>
      <c r="Z56" s="324"/>
      <c r="AA56" s="324"/>
      <c r="AB56" s="324"/>
      <c r="AC56" s="324"/>
      <c r="AD56" s="324"/>
      <c r="AE56" s="324"/>
      <c r="AF56" s="324"/>
      <c r="AG56" s="324"/>
      <c r="AH56" s="324"/>
      <c r="AI56" s="324"/>
      <c r="AJ56" s="324"/>
      <c r="AK56" s="324"/>
      <c r="AL56" s="324"/>
      <c r="AM56" s="324"/>
      <c r="AN56" s="324"/>
    </row>
    <row r="57" spans="5:40" x14ac:dyDescent="0.2">
      <c r="E57" s="322"/>
      <c r="F57" s="322"/>
      <c r="H57" s="323"/>
      <c r="I57" s="323"/>
      <c r="J57" s="323"/>
      <c r="K57" s="324"/>
      <c r="L57" s="324"/>
      <c r="M57" s="324"/>
      <c r="N57" s="324"/>
      <c r="O57" s="324"/>
      <c r="P57" s="324"/>
      <c r="Q57" s="324"/>
      <c r="R57" s="324"/>
      <c r="S57" s="324"/>
      <c r="T57" s="324"/>
      <c r="U57" s="324"/>
      <c r="V57" s="324"/>
      <c r="W57" s="324"/>
      <c r="X57" s="324"/>
      <c r="Y57" s="324"/>
      <c r="Z57" s="324"/>
      <c r="AA57" s="324"/>
      <c r="AB57" s="324"/>
      <c r="AC57" s="324"/>
      <c r="AD57" s="324"/>
      <c r="AE57" s="324"/>
      <c r="AF57" s="324"/>
      <c r="AG57" s="324"/>
      <c r="AH57" s="324"/>
      <c r="AI57" s="324"/>
      <c r="AJ57" s="324"/>
      <c r="AK57" s="324"/>
      <c r="AL57" s="324"/>
      <c r="AM57" s="324"/>
      <c r="AN57" s="324"/>
    </row>
    <row r="58" spans="5:40" x14ac:dyDescent="0.2">
      <c r="E58" s="322"/>
      <c r="F58" s="322"/>
      <c r="H58" s="323"/>
      <c r="I58" s="323"/>
      <c r="J58" s="323"/>
      <c r="K58" s="324"/>
      <c r="L58" s="324"/>
      <c r="M58" s="324"/>
      <c r="N58" s="324"/>
      <c r="O58" s="324"/>
      <c r="P58" s="324"/>
      <c r="Q58" s="324"/>
      <c r="R58" s="324"/>
      <c r="S58" s="324"/>
      <c r="T58" s="324"/>
      <c r="U58" s="324"/>
      <c r="V58" s="324"/>
      <c r="W58" s="324"/>
      <c r="X58" s="324"/>
      <c r="Y58" s="324"/>
      <c r="Z58" s="324"/>
      <c r="AA58" s="324"/>
      <c r="AB58" s="324"/>
      <c r="AC58" s="324"/>
      <c r="AD58" s="324"/>
      <c r="AE58" s="324"/>
      <c r="AF58" s="324"/>
      <c r="AG58" s="324"/>
      <c r="AH58" s="324"/>
      <c r="AI58" s="324"/>
      <c r="AJ58" s="324"/>
      <c r="AK58" s="324"/>
      <c r="AL58" s="324"/>
      <c r="AM58" s="324"/>
      <c r="AN58" s="324"/>
    </row>
    <row r="59" spans="5:40" x14ac:dyDescent="0.2">
      <c r="E59" s="322"/>
      <c r="F59" s="322"/>
      <c r="H59" s="323"/>
      <c r="I59" s="323"/>
      <c r="J59" s="323"/>
      <c r="K59" s="324"/>
      <c r="L59" s="324"/>
      <c r="M59" s="324"/>
      <c r="N59" s="324"/>
      <c r="O59" s="324"/>
      <c r="P59" s="324"/>
      <c r="Q59" s="324"/>
      <c r="R59" s="324"/>
      <c r="S59" s="324"/>
      <c r="T59" s="324"/>
      <c r="U59" s="324"/>
      <c r="V59" s="324"/>
      <c r="W59" s="324"/>
      <c r="X59" s="324"/>
      <c r="Y59" s="324"/>
      <c r="Z59" s="324"/>
      <c r="AA59" s="324"/>
      <c r="AB59" s="324"/>
      <c r="AC59" s="324"/>
      <c r="AD59" s="324"/>
      <c r="AE59" s="324"/>
      <c r="AF59" s="324"/>
      <c r="AG59" s="324"/>
      <c r="AH59" s="324"/>
      <c r="AI59" s="324"/>
      <c r="AJ59" s="324"/>
      <c r="AK59" s="324"/>
      <c r="AL59" s="324"/>
      <c r="AM59" s="324"/>
      <c r="AN59" s="324"/>
    </row>
    <row r="60" spans="5:40" x14ac:dyDescent="0.2">
      <c r="E60" s="322"/>
      <c r="F60" s="322"/>
      <c r="H60" s="323"/>
      <c r="I60" s="323"/>
      <c r="J60" s="323"/>
      <c r="K60" s="324"/>
      <c r="L60" s="324"/>
      <c r="M60" s="324"/>
      <c r="N60" s="324"/>
      <c r="O60" s="324"/>
      <c r="P60" s="324"/>
      <c r="Q60" s="324"/>
      <c r="R60" s="324"/>
      <c r="S60" s="324"/>
      <c r="T60" s="324"/>
      <c r="U60" s="324"/>
      <c r="V60" s="324"/>
      <c r="W60" s="324"/>
      <c r="X60" s="324"/>
      <c r="Y60" s="324"/>
      <c r="Z60" s="324"/>
      <c r="AA60" s="324"/>
      <c r="AB60" s="324"/>
      <c r="AC60" s="324"/>
      <c r="AD60" s="324"/>
      <c r="AE60" s="324"/>
      <c r="AF60" s="324"/>
      <c r="AG60" s="324"/>
      <c r="AH60" s="324"/>
      <c r="AI60" s="324"/>
      <c r="AJ60" s="324"/>
      <c r="AK60" s="324"/>
      <c r="AL60" s="324"/>
      <c r="AM60" s="324"/>
      <c r="AN60" s="324"/>
    </row>
    <row r="61" spans="5:40" x14ac:dyDescent="0.2">
      <c r="E61" s="322"/>
      <c r="F61" s="322"/>
      <c r="H61" s="323"/>
      <c r="I61" s="323"/>
      <c r="J61" s="323"/>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row>
    <row r="62" spans="5:40" x14ac:dyDescent="0.2">
      <c r="E62" s="322"/>
      <c r="F62" s="322"/>
      <c r="H62" s="323"/>
      <c r="I62" s="323"/>
      <c r="J62" s="323"/>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row>
    <row r="63" spans="5:40" x14ac:dyDescent="0.2">
      <c r="E63" s="322"/>
      <c r="F63" s="322"/>
      <c r="H63" s="323"/>
      <c r="I63" s="323"/>
      <c r="J63" s="323"/>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row>
    <row r="64" spans="5:40" x14ac:dyDescent="0.2">
      <c r="E64" s="322"/>
      <c r="F64" s="322"/>
      <c r="H64" s="323"/>
      <c r="I64" s="323"/>
      <c r="J64" s="323"/>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row>
    <row r="65" spans="5:40" x14ac:dyDescent="0.2">
      <c r="E65" s="322"/>
      <c r="F65" s="322"/>
      <c r="H65" s="323"/>
      <c r="I65" s="323"/>
      <c r="J65" s="323"/>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row>
    <row r="66" spans="5:40" x14ac:dyDescent="0.2">
      <c r="E66" s="322"/>
      <c r="F66" s="322"/>
      <c r="H66" s="323"/>
      <c r="I66" s="323"/>
      <c r="J66" s="323"/>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row>
    <row r="67" spans="5:40" x14ac:dyDescent="0.2">
      <c r="E67" s="322"/>
      <c r="F67" s="322"/>
      <c r="H67" s="323"/>
      <c r="I67" s="323"/>
      <c r="J67" s="323"/>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row>
    <row r="68" spans="5:40" x14ac:dyDescent="0.2">
      <c r="E68" s="322"/>
      <c r="F68" s="322"/>
      <c r="H68" s="323"/>
      <c r="I68" s="323"/>
      <c r="J68" s="323"/>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row>
    <row r="69" spans="5:40" x14ac:dyDescent="0.2">
      <c r="E69" s="322"/>
      <c r="F69" s="322"/>
      <c r="H69" s="323"/>
      <c r="I69" s="323"/>
      <c r="J69" s="323"/>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row>
    <row r="70" spans="5:40" x14ac:dyDescent="0.2">
      <c r="E70" s="322"/>
      <c r="F70" s="322"/>
      <c r="H70" s="323"/>
      <c r="I70" s="323"/>
      <c r="J70" s="323"/>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row>
    <row r="71" spans="5:40" x14ac:dyDescent="0.2">
      <c r="E71" s="322"/>
      <c r="F71" s="322"/>
      <c r="H71" s="323"/>
      <c r="I71" s="323"/>
      <c r="J71" s="323"/>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row>
    <row r="72" spans="5:40" x14ac:dyDescent="0.2">
      <c r="E72" s="322"/>
      <c r="F72" s="322"/>
      <c r="H72" s="323"/>
      <c r="I72" s="323"/>
      <c r="J72" s="323"/>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row>
    <row r="73" spans="5:40" x14ac:dyDescent="0.2">
      <c r="E73" s="322"/>
      <c r="F73" s="322"/>
      <c r="H73" s="323"/>
      <c r="I73" s="323"/>
      <c r="J73" s="323"/>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row>
    <row r="74" spans="5:40" x14ac:dyDescent="0.2">
      <c r="E74" s="322"/>
      <c r="F74" s="322"/>
      <c r="H74" s="323"/>
      <c r="I74" s="323"/>
      <c r="J74" s="323"/>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row>
    <row r="75" spans="5:40" x14ac:dyDescent="0.2">
      <c r="E75" s="322"/>
      <c r="F75" s="322"/>
      <c r="H75" s="323"/>
      <c r="I75" s="323"/>
      <c r="J75" s="323"/>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row>
    <row r="76" spans="5:40" x14ac:dyDescent="0.2">
      <c r="E76" s="322"/>
      <c r="F76" s="322"/>
      <c r="H76" s="323"/>
      <c r="I76" s="323"/>
      <c r="J76" s="323"/>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row>
    <row r="77" spans="5:40" x14ac:dyDescent="0.2">
      <c r="E77" s="322"/>
      <c r="F77" s="322"/>
      <c r="H77" s="323"/>
      <c r="I77" s="323"/>
      <c r="J77" s="323"/>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row>
    <row r="78" spans="5:40" x14ac:dyDescent="0.2">
      <c r="E78" s="322"/>
      <c r="F78" s="322"/>
      <c r="H78" s="323"/>
      <c r="I78" s="323"/>
      <c r="J78" s="323"/>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row>
    <row r="79" spans="5:40" x14ac:dyDescent="0.2">
      <c r="E79" s="322"/>
      <c r="F79" s="322"/>
      <c r="H79" s="323"/>
      <c r="I79" s="323"/>
      <c r="J79" s="323"/>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row>
    <row r="80" spans="5:40" x14ac:dyDescent="0.2">
      <c r="E80" s="322"/>
      <c r="F80" s="322"/>
      <c r="H80" s="323"/>
      <c r="I80" s="323"/>
      <c r="J80" s="323"/>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row>
    <row r="81" spans="5:40" x14ac:dyDescent="0.2">
      <c r="E81" s="322"/>
      <c r="F81" s="322"/>
      <c r="H81" s="323"/>
      <c r="I81" s="323"/>
      <c r="J81" s="323"/>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row>
    <row r="82" spans="5:40" x14ac:dyDescent="0.2">
      <c r="E82" s="322"/>
      <c r="F82" s="322"/>
      <c r="H82" s="323"/>
      <c r="I82" s="323"/>
      <c r="J82" s="323"/>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row>
    <row r="83" spans="5:40" x14ac:dyDescent="0.2">
      <c r="E83" s="322"/>
      <c r="F83" s="322"/>
      <c r="H83" s="323"/>
      <c r="I83" s="323"/>
      <c r="J83" s="323"/>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row>
    <row r="84" spans="5:40" x14ac:dyDescent="0.2">
      <c r="E84" s="322"/>
      <c r="F84" s="322"/>
      <c r="H84" s="323"/>
      <c r="I84" s="323"/>
      <c r="J84" s="323"/>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row>
    <row r="85" spans="5:40" x14ac:dyDescent="0.2">
      <c r="E85" s="322"/>
      <c r="F85" s="322"/>
      <c r="H85" s="323"/>
      <c r="I85" s="323"/>
      <c r="J85" s="323"/>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row>
    <row r="86" spans="5:40" x14ac:dyDescent="0.2">
      <c r="E86" s="322"/>
      <c r="F86" s="322"/>
      <c r="H86" s="323"/>
      <c r="I86" s="323"/>
      <c r="J86" s="323"/>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row>
    <row r="87" spans="5:40" x14ac:dyDescent="0.2">
      <c r="E87" s="322"/>
      <c r="F87" s="322"/>
      <c r="H87" s="323"/>
      <c r="I87" s="323"/>
      <c r="J87" s="323"/>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row>
    <row r="88" spans="5:40" x14ac:dyDescent="0.2">
      <c r="E88" s="322"/>
      <c r="F88" s="322"/>
      <c r="H88" s="323"/>
      <c r="I88" s="323"/>
      <c r="J88" s="323"/>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row>
    <row r="89" spans="5:40" x14ac:dyDescent="0.2">
      <c r="E89" s="322"/>
      <c r="F89" s="322"/>
      <c r="H89" s="323"/>
      <c r="I89" s="323"/>
      <c r="J89" s="323"/>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row>
    <row r="90" spans="5:40" x14ac:dyDescent="0.2">
      <c r="E90" s="322"/>
      <c r="F90" s="322"/>
      <c r="H90" s="323"/>
      <c r="I90" s="323"/>
      <c r="J90" s="323"/>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row>
    <row r="91" spans="5:40" x14ac:dyDescent="0.2">
      <c r="E91" s="322"/>
      <c r="F91" s="322"/>
      <c r="H91" s="323"/>
      <c r="I91" s="323"/>
      <c r="J91" s="323"/>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row>
    <row r="92" spans="5:40" x14ac:dyDescent="0.2">
      <c r="E92" s="322"/>
      <c r="F92" s="322"/>
      <c r="H92" s="323"/>
      <c r="I92" s="323"/>
      <c r="J92" s="323"/>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row>
    <row r="93" spans="5:40" x14ac:dyDescent="0.2">
      <c r="E93" s="322"/>
      <c r="F93" s="322"/>
      <c r="H93" s="323"/>
      <c r="I93" s="323"/>
      <c r="J93" s="323"/>
      <c r="K93" s="324"/>
      <c r="L93" s="324"/>
      <c r="M93" s="324"/>
      <c r="N93" s="324"/>
      <c r="O93" s="324"/>
      <c r="P93" s="324"/>
      <c r="Q93" s="324"/>
      <c r="R93" s="324"/>
      <c r="S93" s="324"/>
      <c r="T93" s="324"/>
      <c r="U93" s="324"/>
      <c r="V93" s="324"/>
      <c r="W93" s="324"/>
      <c r="X93" s="324"/>
      <c r="Y93" s="324"/>
      <c r="Z93" s="324"/>
      <c r="AA93" s="324"/>
      <c r="AB93" s="324"/>
      <c r="AC93" s="324"/>
      <c r="AD93" s="324"/>
      <c r="AE93" s="324"/>
      <c r="AF93" s="324"/>
      <c r="AG93" s="324"/>
      <c r="AH93" s="324"/>
      <c r="AI93" s="324"/>
      <c r="AJ93" s="324"/>
      <c r="AK93" s="324"/>
      <c r="AL93" s="324"/>
      <c r="AM93" s="324"/>
      <c r="AN93" s="324"/>
    </row>
    <row r="94" spans="5:40" x14ac:dyDescent="0.2">
      <c r="E94" s="322"/>
      <c r="F94" s="322"/>
      <c r="H94" s="323"/>
      <c r="I94" s="323"/>
      <c r="J94" s="323"/>
      <c r="K94" s="324"/>
      <c r="L94" s="324"/>
      <c r="M94" s="324"/>
      <c r="N94" s="324"/>
      <c r="O94" s="324"/>
      <c r="P94" s="324"/>
      <c r="Q94" s="324"/>
      <c r="R94" s="324"/>
      <c r="S94" s="324"/>
      <c r="T94" s="324"/>
      <c r="U94" s="324"/>
      <c r="V94" s="324"/>
      <c r="W94" s="324"/>
      <c r="X94" s="324"/>
      <c r="Y94" s="324"/>
      <c r="Z94" s="324"/>
      <c r="AA94" s="324"/>
      <c r="AB94" s="324"/>
      <c r="AC94" s="324"/>
      <c r="AD94" s="324"/>
      <c r="AE94" s="324"/>
      <c r="AF94" s="324"/>
      <c r="AG94" s="324"/>
      <c r="AH94" s="324"/>
      <c r="AI94" s="324"/>
      <c r="AJ94" s="324"/>
      <c r="AK94" s="324"/>
      <c r="AL94" s="324"/>
      <c r="AM94" s="324"/>
      <c r="AN94" s="324"/>
    </row>
    <row r="95" spans="5:40" x14ac:dyDescent="0.2">
      <c r="E95" s="322"/>
      <c r="F95" s="322"/>
      <c r="H95" s="323"/>
      <c r="I95" s="323"/>
      <c r="J95" s="323"/>
      <c r="K95" s="324"/>
      <c r="L95" s="324"/>
      <c r="M95" s="324"/>
      <c r="N95" s="324"/>
      <c r="O95" s="324"/>
      <c r="P95" s="324"/>
      <c r="Q95" s="324"/>
      <c r="R95" s="324"/>
      <c r="S95" s="324"/>
      <c r="T95" s="324"/>
      <c r="U95" s="324"/>
      <c r="V95" s="324"/>
      <c r="W95" s="324"/>
      <c r="X95" s="324"/>
      <c r="Y95" s="324"/>
      <c r="Z95" s="324"/>
      <c r="AA95" s="324"/>
      <c r="AB95" s="324"/>
      <c r="AC95" s="324"/>
      <c r="AD95" s="324"/>
      <c r="AE95" s="324"/>
      <c r="AF95" s="324"/>
      <c r="AG95" s="324"/>
      <c r="AH95" s="324"/>
      <c r="AI95" s="324"/>
      <c r="AJ95" s="324"/>
      <c r="AK95" s="324"/>
      <c r="AL95" s="324"/>
      <c r="AM95" s="324"/>
      <c r="AN95" s="324"/>
    </row>
    <row r="96" spans="5:40" x14ac:dyDescent="0.2">
      <c r="E96" s="322"/>
      <c r="F96" s="322"/>
      <c r="H96" s="323"/>
      <c r="I96" s="323"/>
      <c r="J96" s="323"/>
      <c r="K96" s="324"/>
      <c r="L96" s="324"/>
      <c r="M96" s="324"/>
      <c r="N96" s="324"/>
      <c r="O96" s="324"/>
      <c r="P96" s="324"/>
      <c r="Q96" s="324"/>
      <c r="R96" s="324"/>
      <c r="S96" s="324"/>
      <c r="T96" s="324"/>
      <c r="U96" s="324"/>
      <c r="V96" s="324"/>
      <c r="W96" s="324"/>
      <c r="X96" s="324"/>
      <c r="Y96" s="324"/>
      <c r="Z96" s="324"/>
      <c r="AA96" s="324"/>
      <c r="AB96" s="324"/>
      <c r="AC96" s="324"/>
      <c r="AD96" s="324"/>
      <c r="AE96" s="324"/>
      <c r="AF96" s="324"/>
      <c r="AG96" s="324"/>
      <c r="AH96" s="324"/>
      <c r="AI96" s="324"/>
      <c r="AJ96" s="324"/>
      <c r="AK96" s="324"/>
      <c r="AL96" s="324"/>
      <c r="AM96" s="324"/>
      <c r="AN96" s="324"/>
    </row>
    <row r="97" spans="5:40" x14ac:dyDescent="0.2">
      <c r="E97" s="322"/>
      <c r="F97" s="322"/>
      <c r="H97" s="323"/>
      <c r="I97" s="323"/>
      <c r="J97" s="323"/>
      <c r="K97" s="324"/>
      <c r="L97" s="324"/>
      <c r="M97" s="324"/>
      <c r="N97" s="324"/>
      <c r="O97" s="324"/>
      <c r="P97" s="324"/>
      <c r="Q97" s="324"/>
      <c r="R97" s="324"/>
      <c r="S97" s="324"/>
      <c r="T97" s="324"/>
      <c r="U97" s="324"/>
      <c r="V97" s="324"/>
      <c r="W97" s="324"/>
      <c r="X97" s="324"/>
      <c r="Y97" s="324"/>
      <c r="Z97" s="324"/>
      <c r="AA97" s="324"/>
      <c r="AB97" s="324"/>
      <c r="AC97" s="324"/>
      <c r="AD97" s="324"/>
      <c r="AE97" s="324"/>
      <c r="AF97" s="324"/>
      <c r="AG97" s="324"/>
      <c r="AH97" s="324"/>
      <c r="AI97" s="324"/>
      <c r="AJ97" s="324"/>
      <c r="AK97" s="324"/>
      <c r="AL97" s="324"/>
      <c r="AM97" s="324"/>
      <c r="AN97" s="324"/>
    </row>
    <row r="98" spans="5:40" x14ac:dyDescent="0.2">
      <c r="E98" s="322"/>
      <c r="F98" s="322"/>
      <c r="H98" s="323"/>
      <c r="I98" s="323"/>
      <c r="J98" s="323"/>
      <c r="K98" s="324"/>
      <c r="L98" s="324"/>
      <c r="M98" s="324"/>
      <c r="N98" s="324"/>
      <c r="O98" s="324"/>
      <c r="P98" s="324"/>
      <c r="Q98" s="324"/>
      <c r="R98" s="324"/>
      <c r="S98" s="324"/>
      <c r="T98" s="324"/>
      <c r="U98" s="324"/>
      <c r="V98" s="324"/>
      <c r="W98" s="324"/>
      <c r="X98" s="324"/>
      <c r="Y98" s="324"/>
      <c r="Z98" s="324"/>
      <c r="AA98" s="324"/>
      <c r="AB98" s="324"/>
      <c r="AC98" s="324"/>
      <c r="AD98" s="324"/>
      <c r="AE98" s="324"/>
      <c r="AF98" s="324"/>
      <c r="AG98" s="324"/>
      <c r="AH98" s="324"/>
      <c r="AI98" s="324"/>
      <c r="AJ98" s="324"/>
      <c r="AK98" s="324"/>
      <c r="AL98" s="324"/>
      <c r="AM98" s="324"/>
      <c r="AN98" s="324"/>
    </row>
    <row r="99" spans="5:40" x14ac:dyDescent="0.2">
      <c r="E99" s="322"/>
      <c r="F99" s="322"/>
      <c r="H99" s="323"/>
      <c r="I99" s="323"/>
      <c r="J99" s="323"/>
      <c r="K99" s="324"/>
      <c r="L99" s="324"/>
      <c r="M99" s="324"/>
      <c r="N99" s="324"/>
      <c r="O99" s="324"/>
      <c r="P99" s="324"/>
      <c r="Q99" s="324"/>
      <c r="R99" s="324"/>
      <c r="S99" s="324"/>
      <c r="T99" s="324"/>
      <c r="U99" s="324"/>
      <c r="V99" s="324"/>
      <c r="W99" s="324"/>
      <c r="X99" s="324"/>
      <c r="Y99" s="324"/>
      <c r="Z99" s="324"/>
      <c r="AA99" s="324"/>
      <c r="AB99" s="324"/>
      <c r="AC99" s="324"/>
      <c r="AD99" s="324"/>
      <c r="AE99" s="324"/>
      <c r="AF99" s="324"/>
      <c r="AG99" s="324"/>
      <c r="AH99" s="324"/>
      <c r="AI99" s="324"/>
      <c r="AJ99" s="324"/>
      <c r="AK99" s="324"/>
      <c r="AL99" s="324"/>
      <c r="AM99" s="324"/>
      <c r="AN99" s="324"/>
    </row>
    <row r="100" spans="5:40" x14ac:dyDescent="0.2">
      <c r="E100" s="322"/>
      <c r="F100" s="322"/>
      <c r="H100" s="323"/>
      <c r="I100" s="323"/>
      <c r="J100" s="323"/>
      <c r="K100" s="324"/>
      <c r="L100" s="324"/>
      <c r="M100" s="324"/>
      <c r="N100" s="324"/>
      <c r="O100" s="324"/>
      <c r="P100" s="324"/>
      <c r="Q100" s="324"/>
      <c r="R100" s="324"/>
      <c r="S100" s="324"/>
      <c r="T100" s="324"/>
      <c r="U100" s="324"/>
      <c r="V100" s="324"/>
      <c r="W100" s="324"/>
      <c r="X100" s="324"/>
      <c r="Y100" s="324"/>
      <c r="Z100" s="324"/>
      <c r="AA100" s="324"/>
      <c r="AB100" s="324"/>
      <c r="AC100" s="324"/>
      <c r="AD100" s="324"/>
      <c r="AE100" s="324"/>
      <c r="AF100" s="324"/>
      <c r="AG100" s="324"/>
      <c r="AH100" s="324"/>
      <c r="AI100" s="324"/>
      <c r="AJ100" s="324"/>
      <c r="AK100" s="324"/>
      <c r="AL100" s="324"/>
      <c r="AM100" s="324"/>
      <c r="AN100" s="324"/>
    </row>
    <row r="101" spans="5:40" x14ac:dyDescent="0.2">
      <c r="E101" s="322"/>
      <c r="F101" s="322"/>
      <c r="H101" s="323"/>
      <c r="I101" s="323"/>
      <c r="J101" s="323"/>
      <c r="K101" s="324"/>
      <c r="L101" s="324"/>
      <c r="M101" s="324"/>
      <c r="N101" s="324"/>
      <c r="O101" s="324"/>
      <c r="P101" s="324"/>
      <c r="Q101" s="324"/>
      <c r="R101" s="324"/>
      <c r="S101" s="324"/>
      <c r="T101" s="324"/>
      <c r="U101" s="324"/>
      <c r="V101" s="324"/>
      <c r="W101" s="324"/>
      <c r="X101" s="324"/>
      <c r="Y101" s="324"/>
      <c r="Z101" s="324"/>
      <c r="AA101" s="324"/>
      <c r="AB101" s="324"/>
      <c r="AC101" s="324"/>
      <c r="AD101" s="324"/>
      <c r="AE101" s="324"/>
      <c r="AF101" s="324"/>
      <c r="AG101" s="324"/>
      <c r="AH101" s="324"/>
      <c r="AI101" s="324"/>
      <c r="AJ101" s="324"/>
      <c r="AK101" s="324"/>
      <c r="AL101" s="324"/>
      <c r="AM101" s="324"/>
      <c r="AN101" s="324"/>
    </row>
  </sheetData>
  <dataConsolidate link="1"/>
  <mergeCells count="65">
    <mergeCell ref="AB11:AB14"/>
    <mergeCell ref="AC11:AG11"/>
    <mergeCell ref="B4:AG4"/>
    <mergeCell ref="B5:AG5"/>
    <mergeCell ref="B6:AG6"/>
    <mergeCell ref="D10:J10"/>
    <mergeCell ref="B11:B14"/>
    <mergeCell ref="C11:C14"/>
    <mergeCell ref="D11:D14"/>
    <mergeCell ref="E11:F13"/>
    <mergeCell ref="G11:G14"/>
    <mergeCell ref="H11:H14"/>
    <mergeCell ref="AE13:AE14"/>
    <mergeCell ref="R13:R14"/>
    <mergeCell ref="S13:S14"/>
    <mergeCell ref="T13:T14"/>
    <mergeCell ref="U12:V12"/>
    <mergeCell ref="I11:M11"/>
    <mergeCell ref="N11:R11"/>
    <mergeCell ref="S11:V11"/>
    <mergeCell ref="U13:U14"/>
    <mergeCell ref="V13:V14"/>
    <mergeCell ref="W11:AA11"/>
    <mergeCell ref="I12:K12"/>
    <mergeCell ref="L12:M12"/>
    <mergeCell ref="N12:P12"/>
    <mergeCell ref="Q12:R12"/>
    <mergeCell ref="S12:T12"/>
    <mergeCell ref="AD13:AD14"/>
    <mergeCell ref="AH11:AL11"/>
    <mergeCell ref="AM11:AM14"/>
    <mergeCell ref="AN11:AN14"/>
    <mergeCell ref="AO11:AO14"/>
    <mergeCell ref="Z13:Z14"/>
    <mergeCell ref="AH12:AJ12"/>
    <mergeCell ref="AK12:AL12"/>
    <mergeCell ref="I13:I14"/>
    <mergeCell ref="J13:J14"/>
    <mergeCell ref="L13:L14"/>
    <mergeCell ref="M13:M14"/>
    <mergeCell ref="N13:N14"/>
    <mergeCell ref="O13:O14"/>
    <mergeCell ref="P13:P14"/>
    <mergeCell ref="Q13:Q14"/>
    <mergeCell ref="W12:Y12"/>
    <mergeCell ref="Z12:AA12"/>
    <mergeCell ref="AC12:AE12"/>
    <mergeCell ref="AF12:AG12"/>
    <mergeCell ref="AC13:AC14"/>
    <mergeCell ref="AA13:AA14"/>
    <mergeCell ref="W13:W14"/>
    <mergeCell ref="AL13:AL14"/>
    <mergeCell ref="B15:B25"/>
    <mergeCell ref="C15:C21"/>
    <mergeCell ref="D16:D19"/>
    <mergeCell ref="D20:D21"/>
    <mergeCell ref="C23:C25"/>
    <mergeCell ref="D23:D25"/>
    <mergeCell ref="AF13:AF14"/>
    <mergeCell ref="AG13:AG14"/>
    <mergeCell ref="AH13:AH14"/>
    <mergeCell ref="AI13:AI14"/>
    <mergeCell ref="AJ13:AJ14"/>
    <mergeCell ref="AK13:AK14"/>
    <mergeCell ref="X13:X14"/>
  </mergeCells>
  <printOptions horizontalCentered="1"/>
  <pageMargins left="0.98425196850393704" right="0.39370078740157499" top="0.39370078740157499" bottom="0.39370078740157499" header="0.31496062992126" footer="0.31496062992126"/>
  <pageSetup paperSize="14" scale="34" pageOrder="overThenDown" orientation="landscape" r:id="rId1"/>
  <headerFooter>
    <oddHeader>&amp;F</oddHead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4276B-A594-4D08-B17F-7E044F85E91F}">
  <dimension ref="A1:AB91"/>
  <sheetViews>
    <sheetView showGridLines="0" topLeftCell="A7" workbookViewId="0">
      <selection activeCell="B85" sqref="B85:Z91"/>
    </sheetView>
  </sheetViews>
  <sheetFormatPr baseColWidth="10" defaultRowHeight="15" x14ac:dyDescent="0.25"/>
  <cols>
    <col min="1" max="1" width="15.140625" style="128" bestFit="1" customWidth="1"/>
    <col min="2" max="2" width="18" style="128" bestFit="1" customWidth="1"/>
    <col min="3" max="3" width="14.7109375" style="128" bestFit="1" customWidth="1"/>
    <col min="4" max="4" width="45.7109375" style="128" bestFit="1" customWidth="1"/>
    <col min="5" max="5" width="8.85546875" style="128" hidden="1" customWidth="1"/>
    <col min="6" max="6" width="16.5703125" style="128" hidden="1" customWidth="1"/>
    <col min="7" max="7" width="15.85546875" style="128" hidden="1" customWidth="1"/>
    <col min="8" max="8" width="13" style="128" hidden="1" customWidth="1"/>
    <col min="9" max="9" width="15" style="128" hidden="1" customWidth="1"/>
    <col min="10" max="10" width="11.140625" style="128" hidden="1" customWidth="1"/>
    <col min="11" max="12" width="14.140625" style="128" hidden="1" customWidth="1"/>
    <col min="13" max="13" width="19.42578125" style="128" bestFit="1" customWidth="1"/>
    <col min="14" max="14" width="15.7109375" style="128" hidden="1" customWidth="1"/>
    <col min="15" max="15" width="14.140625" style="128" hidden="1" customWidth="1"/>
    <col min="16" max="16" width="23.42578125" style="128" hidden="1" customWidth="1"/>
    <col min="17" max="17" width="17.7109375" style="128" hidden="1" customWidth="1"/>
    <col min="18" max="18" width="15.7109375" style="128" hidden="1" customWidth="1"/>
    <col min="19" max="19" width="23" style="128" hidden="1" customWidth="1"/>
    <col min="20" max="20" width="26.28515625" style="128" hidden="1" customWidth="1"/>
    <col min="21" max="21" width="18.5703125" style="128" customWidth="1"/>
    <col min="22" max="22" width="20.42578125" style="128" hidden="1" customWidth="1"/>
    <col min="23" max="23" width="15.85546875" style="128" hidden="1" customWidth="1"/>
    <col min="24" max="24" width="16.85546875" style="128" hidden="1" customWidth="1"/>
    <col min="25" max="25" width="17.140625" style="128" hidden="1" customWidth="1"/>
    <col min="26" max="26" width="18.85546875" style="128" customWidth="1"/>
    <col min="27" max="27" width="14.140625" style="128" hidden="1" customWidth="1"/>
    <col min="28" max="16384" width="11.42578125" style="128"/>
  </cols>
  <sheetData>
    <row r="1" spans="1:28" x14ac:dyDescent="0.25">
      <c r="A1" s="457" t="s">
        <v>506</v>
      </c>
      <c r="B1" s="457"/>
      <c r="C1" s="457"/>
      <c r="D1" s="457"/>
      <c r="E1" s="457"/>
      <c r="F1" s="457"/>
      <c r="G1" s="457"/>
      <c r="H1" s="457"/>
      <c r="I1" s="457"/>
      <c r="J1" s="457"/>
      <c r="K1" s="457"/>
      <c r="L1" s="457"/>
      <c r="M1" s="457"/>
      <c r="N1" s="457"/>
      <c r="O1" s="457"/>
      <c r="P1" s="457"/>
      <c r="Q1" s="457"/>
      <c r="R1" s="457"/>
      <c r="S1" s="457"/>
      <c r="T1" s="457"/>
      <c r="U1" s="457"/>
      <c r="V1" s="457"/>
      <c r="W1" s="457"/>
      <c r="X1" s="457"/>
      <c r="Y1" s="457"/>
      <c r="Z1" s="457"/>
      <c r="AA1" s="457"/>
    </row>
    <row r="2" spans="1:28" x14ac:dyDescent="0.25">
      <c r="A2" s="458" t="s">
        <v>507</v>
      </c>
      <c r="B2" s="458"/>
      <c r="C2" s="458"/>
      <c r="D2" s="458"/>
      <c r="E2" s="458"/>
      <c r="F2" s="458"/>
      <c r="G2" s="458"/>
      <c r="H2" s="458"/>
      <c r="I2" s="458"/>
      <c r="J2" s="458"/>
      <c r="K2" s="458"/>
      <c r="L2" s="458"/>
      <c r="M2" s="458"/>
      <c r="N2" s="458"/>
      <c r="O2" s="458"/>
      <c r="P2" s="458"/>
      <c r="Q2" s="458"/>
      <c r="R2" s="458"/>
      <c r="S2" s="458"/>
      <c r="T2" s="458"/>
      <c r="U2" s="458"/>
      <c r="V2" s="458"/>
      <c r="W2" s="458"/>
      <c r="X2" s="458"/>
      <c r="Y2" s="458"/>
      <c r="Z2" s="458"/>
      <c r="AA2" s="458"/>
      <c r="AB2" s="129"/>
    </row>
    <row r="3" spans="1:28" x14ac:dyDescent="0.25">
      <c r="A3" s="458" t="s">
        <v>508</v>
      </c>
      <c r="B3" s="458"/>
      <c r="C3" s="458"/>
      <c r="D3" s="458"/>
      <c r="E3" s="458"/>
      <c r="F3" s="458"/>
      <c r="G3" s="458"/>
      <c r="H3" s="458"/>
      <c r="I3" s="458"/>
      <c r="J3" s="458"/>
      <c r="K3" s="458"/>
      <c r="L3" s="458"/>
      <c r="M3" s="458"/>
      <c r="N3" s="458"/>
      <c r="O3" s="458"/>
      <c r="P3" s="458"/>
      <c r="Q3" s="458"/>
      <c r="R3" s="458"/>
      <c r="S3" s="458"/>
      <c r="T3" s="458"/>
      <c r="U3" s="458"/>
      <c r="V3" s="458"/>
      <c r="W3" s="458"/>
      <c r="X3" s="458"/>
      <c r="Y3" s="458"/>
      <c r="Z3" s="458"/>
      <c r="AA3" s="458"/>
      <c r="AB3" s="129"/>
    </row>
    <row r="4" spans="1:28" x14ac:dyDescent="0.25">
      <c r="A4" s="458" t="s">
        <v>509</v>
      </c>
      <c r="B4" s="458"/>
      <c r="C4" s="458"/>
      <c r="D4" s="458"/>
      <c r="E4" s="458"/>
      <c r="F4" s="458"/>
      <c r="G4" s="458"/>
      <c r="H4" s="458"/>
      <c r="I4" s="458"/>
      <c r="J4" s="458"/>
      <c r="K4" s="458"/>
      <c r="L4" s="458"/>
      <c r="M4" s="458"/>
      <c r="N4" s="458"/>
      <c r="O4" s="458"/>
      <c r="P4" s="458"/>
      <c r="Q4" s="458"/>
      <c r="R4" s="458"/>
      <c r="S4" s="458"/>
      <c r="T4" s="458"/>
      <c r="U4" s="458"/>
      <c r="V4" s="458"/>
      <c r="W4" s="458"/>
      <c r="X4" s="458"/>
      <c r="Y4" s="458"/>
      <c r="Z4" s="458"/>
      <c r="AA4" s="458"/>
    </row>
    <row r="5" spans="1:28" x14ac:dyDescent="0.25">
      <c r="A5" s="458" t="s">
        <v>510</v>
      </c>
      <c r="B5" s="458"/>
      <c r="C5" s="458"/>
      <c r="D5" s="458"/>
      <c r="E5" s="458"/>
      <c r="F5" s="458"/>
      <c r="G5" s="458"/>
      <c r="H5" s="458"/>
      <c r="I5" s="458"/>
      <c r="J5" s="458"/>
      <c r="K5" s="458"/>
      <c r="L5" s="458"/>
      <c r="M5" s="458"/>
      <c r="N5" s="458"/>
      <c r="O5" s="458"/>
      <c r="P5" s="458"/>
      <c r="Q5" s="458"/>
      <c r="R5" s="458"/>
      <c r="S5" s="458"/>
      <c r="T5" s="458"/>
      <c r="U5" s="458"/>
      <c r="V5" s="458"/>
      <c r="W5" s="458"/>
      <c r="X5" s="458"/>
      <c r="Y5" s="458"/>
      <c r="Z5" s="458"/>
      <c r="AA5" s="458"/>
      <c r="AB5" s="129"/>
    </row>
    <row r="6" spans="1:28" x14ac:dyDescent="0.25">
      <c r="A6" s="456" t="s">
        <v>511</v>
      </c>
      <c r="B6" s="456"/>
      <c r="C6" s="456"/>
      <c r="D6" s="456"/>
      <c r="E6" s="456"/>
      <c r="F6" s="456"/>
      <c r="G6" s="456"/>
      <c r="H6" s="456"/>
      <c r="I6" s="456"/>
      <c r="J6" s="456"/>
      <c r="K6" s="456"/>
      <c r="L6" s="456"/>
      <c r="M6" s="456"/>
      <c r="N6" s="456"/>
      <c r="O6" s="456"/>
      <c r="P6" s="456"/>
      <c r="Q6" s="456"/>
      <c r="R6" s="456"/>
      <c r="S6" s="456"/>
      <c r="T6" s="456"/>
      <c r="U6" s="456"/>
      <c r="V6" s="456"/>
      <c r="W6" s="456"/>
      <c r="X6" s="456"/>
      <c r="Y6" s="456"/>
      <c r="Z6" s="456"/>
      <c r="AA6" s="456"/>
      <c r="AB6" s="129"/>
    </row>
    <row r="7" spans="1:28" ht="21" customHeight="1" x14ac:dyDescent="0.25">
      <c r="A7" s="130" t="s">
        <v>512</v>
      </c>
      <c r="B7" s="130" t="s">
        <v>513</v>
      </c>
      <c r="C7" s="130" t="s">
        <v>514</v>
      </c>
      <c r="D7" s="130" t="s">
        <v>515</v>
      </c>
      <c r="E7" s="130" t="s">
        <v>516</v>
      </c>
      <c r="F7" s="130" t="s">
        <v>517</v>
      </c>
      <c r="G7" s="130" t="s">
        <v>518</v>
      </c>
      <c r="H7" s="130" t="s">
        <v>519</v>
      </c>
      <c r="I7" s="130" t="s">
        <v>520</v>
      </c>
      <c r="J7" s="130" t="s">
        <v>521</v>
      </c>
      <c r="K7" s="130" t="s">
        <v>522</v>
      </c>
      <c r="L7" s="130" t="s">
        <v>523</v>
      </c>
      <c r="M7" s="130" t="s">
        <v>524</v>
      </c>
      <c r="N7" s="130" t="s">
        <v>525</v>
      </c>
      <c r="O7" s="130" t="s">
        <v>526</v>
      </c>
      <c r="P7" s="130" t="s">
        <v>527</v>
      </c>
      <c r="Q7" s="130" t="s">
        <v>528</v>
      </c>
      <c r="R7" s="130" t="s">
        <v>529</v>
      </c>
      <c r="S7" s="130" t="s">
        <v>530</v>
      </c>
      <c r="T7" s="130" t="s">
        <v>531</v>
      </c>
      <c r="U7" s="130" t="s">
        <v>532</v>
      </c>
      <c r="V7" s="130" t="s">
        <v>533</v>
      </c>
      <c r="W7" s="130" t="s">
        <v>534</v>
      </c>
      <c r="X7" s="130" t="s">
        <v>535</v>
      </c>
      <c r="Y7" s="130" t="s">
        <v>536</v>
      </c>
      <c r="Z7" s="130" t="s">
        <v>537</v>
      </c>
      <c r="AA7" s="130" t="s">
        <v>538</v>
      </c>
    </row>
    <row r="8" spans="1:28" s="134" customFormat="1" ht="16.5" customHeight="1" x14ac:dyDescent="0.25">
      <c r="A8" s="131" t="s">
        <v>539</v>
      </c>
      <c r="B8" s="131" t="s">
        <v>540</v>
      </c>
      <c r="C8" s="131" t="s">
        <v>541</v>
      </c>
      <c r="D8" s="131" t="s">
        <v>542</v>
      </c>
      <c r="E8" s="131" t="s">
        <v>539</v>
      </c>
      <c r="F8" s="132">
        <v>5040000000</v>
      </c>
      <c r="G8" s="132">
        <v>6707326622.8199997</v>
      </c>
      <c r="H8" s="133">
        <v>0</v>
      </c>
      <c r="I8" s="133">
        <v>0</v>
      </c>
      <c r="J8" s="133">
        <v>0</v>
      </c>
      <c r="K8" s="132">
        <v>800347133</v>
      </c>
      <c r="L8" s="132">
        <v>800347133</v>
      </c>
      <c r="M8" s="132">
        <v>11747326622.82</v>
      </c>
      <c r="N8" s="133">
        <v>0</v>
      </c>
      <c r="O8" s="132">
        <v>8113106091.21</v>
      </c>
      <c r="P8" s="132">
        <v>8113106091.21</v>
      </c>
      <c r="Q8" s="133">
        <v>0</v>
      </c>
      <c r="R8" s="132">
        <v>3634220531.6100001</v>
      </c>
      <c r="S8" s="133">
        <v>0</v>
      </c>
      <c r="T8" s="132">
        <v>8113051891.21</v>
      </c>
      <c r="U8" s="132">
        <v>8113051891.21</v>
      </c>
      <c r="V8" s="132">
        <v>3634274731.6100001</v>
      </c>
      <c r="W8" s="132">
        <v>8113051891.21</v>
      </c>
      <c r="X8" s="133">
        <v>0</v>
      </c>
      <c r="Y8" s="132">
        <v>7732541356.46</v>
      </c>
      <c r="Z8" s="132">
        <v>7732541356.46</v>
      </c>
      <c r="AA8" s="132">
        <v>380510534.75</v>
      </c>
    </row>
    <row r="9" spans="1:28" s="138" customFormat="1" ht="16.5" customHeight="1" x14ac:dyDescent="0.25">
      <c r="A9" s="135" t="s">
        <v>539</v>
      </c>
      <c r="B9" s="135" t="s">
        <v>543</v>
      </c>
      <c r="C9" s="135" t="s">
        <v>541</v>
      </c>
      <c r="D9" s="135" t="s">
        <v>544</v>
      </c>
      <c r="E9" s="135" t="s">
        <v>539</v>
      </c>
      <c r="F9" s="136">
        <v>2332862428</v>
      </c>
      <c r="G9" s="137">
        <v>0</v>
      </c>
      <c r="H9" s="137">
        <v>0</v>
      </c>
      <c r="I9" s="137">
        <v>0</v>
      </c>
      <c r="J9" s="137">
        <v>0</v>
      </c>
      <c r="K9" s="136">
        <v>106049038</v>
      </c>
      <c r="L9" s="136">
        <v>106049038</v>
      </c>
      <c r="M9" s="136">
        <v>2332862428</v>
      </c>
      <c r="N9" s="137">
        <v>0</v>
      </c>
      <c r="O9" s="136">
        <v>1999711183.8800001</v>
      </c>
      <c r="P9" s="136">
        <v>1999711183.8800001</v>
      </c>
      <c r="Q9" s="137">
        <v>0</v>
      </c>
      <c r="R9" s="136">
        <v>333151244.12</v>
      </c>
      <c r="S9" s="137">
        <v>0</v>
      </c>
      <c r="T9" s="136">
        <v>1999711183.8800001</v>
      </c>
      <c r="U9" s="136">
        <v>1999711183.8800001</v>
      </c>
      <c r="V9" s="136">
        <v>333151244.12</v>
      </c>
      <c r="W9" s="136">
        <v>1999711183.8800001</v>
      </c>
      <c r="X9" s="137">
        <v>0</v>
      </c>
      <c r="Y9" s="136">
        <v>1758040816.1300001</v>
      </c>
      <c r="Z9" s="136">
        <v>1758040816.1300001</v>
      </c>
      <c r="AA9" s="136">
        <v>241670367.75</v>
      </c>
    </row>
    <row r="10" spans="1:28" ht="16.5" customHeight="1" x14ac:dyDescent="0.25">
      <c r="A10" s="139" t="s">
        <v>539</v>
      </c>
      <c r="B10" s="139" t="s">
        <v>545</v>
      </c>
      <c r="C10" s="139" t="s">
        <v>541</v>
      </c>
      <c r="D10" s="139" t="s">
        <v>546</v>
      </c>
      <c r="E10" s="139" t="s">
        <v>539</v>
      </c>
      <c r="F10" s="140">
        <v>1388561517</v>
      </c>
      <c r="G10" s="141">
        <v>0</v>
      </c>
      <c r="H10" s="141">
        <v>0</v>
      </c>
      <c r="I10" s="141">
        <v>0</v>
      </c>
      <c r="J10" s="141">
        <v>0</v>
      </c>
      <c r="K10" s="140">
        <v>49112038</v>
      </c>
      <c r="L10" s="140">
        <v>13106038</v>
      </c>
      <c r="M10" s="140">
        <v>1424567517</v>
      </c>
      <c r="N10" s="141">
        <v>0</v>
      </c>
      <c r="O10" s="140">
        <v>1319751050</v>
      </c>
      <c r="P10" s="140">
        <v>1319751050</v>
      </c>
      <c r="Q10" s="141">
        <v>0</v>
      </c>
      <c r="R10" s="140">
        <v>104816467</v>
      </c>
      <c r="S10" s="141">
        <v>0</v>
      </c>
      <c r="T10" s="140">
        <v>1319751050</v>
      </c>
      <c r="U10" s="140">
        <v>1319751050</v>
      </c>
      <c r="V10" s="140">
        <v>104816467</v>
      </c>
      <c r="W10" s="140">
        <v>1319751050</v>
      </c>
      <c r="X10" s="141">
        <v>0</v>
      </c>
      <c r="Y10" s="140">
        <v>1246762501</v>
      </c>
      <c r="Z10" s="140">
        <v>1246762501</v>
      </c>
      <c r="AA10" s="140">
        <v>72988549</v>
      </c>
    </row>
    <row r="11" spans="1:28" ht="16.5" customHeight="1" x14ac:dyDescent="0.25">
      <c r="A11" s="139" t="s">
        <v>539</v>
      </c>
      <c r="B11" s="139" t="s">
        <v>547</v>
      </c>
      <c r="C11" s="139" t="s">
        <v>541</v>
      </c>
      <c r="D11" s="139" t="s">
        <v>548</v>
      </c>
      <c r="E11" s="139" t="s">
        <v>539</v>
      </c>
      <c r="F11" s="140">
        <v>1388561517</v>
      </c>
      <c r="G11" s="141">
        <v>0</v>
      </c>
      <c r="H11" s="141">
        <v>0</v>
      </c>
      <c r="I11" s="141">
        <v>0</v>
      </c>
      <c r="J11" s="141">
        <v>0</v>
      </c>
      <c r="K11" s="140">
        <v>49112038</v>
      </c>
      <c r="L11" s="140">
        <v>13106038</v>
      </c>
      <c r="M11" s="140">
        <v>1424567517</v>
      </c>
      <c r="N11" s="141">
        <v>0</v>
      </c>
      <c r="O11" s="140">
        <v>1319751050</v>
      </c>
      <c r="P11" s="140">
        <v>1319751050</v>
      </c>
      <c r="Q11" s="141">
        <v>0</v>
      </c>
      <c r="R11" s="140">
        <v>104816467</v>
      </c>
      <c r="S11" s="141">
        <v>0</v>
      </c>
      <c r="T11" s="140">
        <v>1319751050</v>
      </c>
      <c r="U11" s="140">
        <v>1319751050</v>
      </c>
      <c r="V11" s="140">
        <v>104816467</v>
      </c>
      <c r="W11" s="140">
        <v>1319751050</v>
      </c>
      <c r="X11" s="141">
        <v>0</v>
      </c>
      <c r="Y11" s="140">
        <v>1246762501</v>
      </c>
      <c r="Z11" s="140">
        <v>1246762501</v>
      </c>
      <c r="AA11" s="140">
        <v>72988549</v>
      </c>
    </row>
    <row r="12" spans="1:28" ht="16.5" hidden="1" customHeight="1" x14ac:dyDescent="0.25">
      <c r="A12" s="139" t="s">
        <v>539</v>
      </c>
      <c r="B12" s="139" t="s">
        <v>549</v>
      </c>
      <c r="C12" s="139" t="s">
        <v>541</v>
      </c>
      <c r="D12" s="139" t="s">
        <v>550</v>
      </c>
      <c r="E12" s="139" t="s">
        <v>539</v>
      </c>
      <c r="F12" s="140">
        <v>986057546</v>
      </c>
      <c r="G12" s="141">
        <v>0</v>
      </c>
      <c r="H12" s="141">
        <v>0</v>
      </c>
      <c r="I12" s="141">
        <v>0</v>
      </c>
      <c r="J12" s="141">
        <v>0</v>
      </c>
      <c r="K12" s="140">
        <v>24317367</v>
      </c>
      <c r="L12" s="140">
        <v>13106038</v>
      </c>
      <c r="M12" s="140">
        <v>997268875</v>
      </c>
      <c r="N12" s="141">
        <v>0</v>
      </c>
      <c r="O12" s="140">
        <v>946218590</v>
      </c>
      <c r="P12" s="140">
        <v>946218590</v>
      </c>
      <c r="Q12" s="141">
        <v>0</v>
      </c>
      <c r="R12" s="140">
        <v>51050285</v>
      </c>
      <c r="S12" s="141">
        <v>0</v>
      </c>
      <c r="T12" s="140">
        <v>946218590</v>
      </c>
      <c r="U12" s="140">
        <v>946218590</v>
      </c>
      <c r="V12" s="140">
        <v>51050285</v>
      </c>
      <c r="W12" s="140">
        <v>946218590</v>
      </c>
      <c r="X12" s="141">
        <v>0</v>
      </c>
      <c r="Y12" s="140">
        <v>937248064</v>
      </c>
      <c r="Z12" s="140">
        <v>937248064</v>
      </c>
      <c r="AA12" s="140">
        <v>8970526</v>
      </c>
    </row>
    <row r="13" spans="1:28" ht="16.5" hidden="1" customHeight="1" x14ac:dyDescent="0.25">
      <c r="A13" s="139" t="s">
        <v>539</v>
      </c>
      <c r="B13" s="139" t="s">
        <v>551</v>
      </c>
      <c r="C13" s="139" t="s">
        <v>541</v>
      </c>
      <c r="D13" s="139" t="s">
        <v>552</v>
      </c>
      <c r="E13" s="139" t="s">
        <v>539</v>
      </c>
      <c r="F13" s="140">
        <v>976294600</v>
      </c>
      <c r="G13" s="141">
        <v>0</v>
      </c>
      <c r="H13" s="141">
        <v>0</v>
      </c>
      <c r="I13" s="141">
        <v>0</v>
      </c>
      <c r="J13" s="141">
        <v>0</v>
      </c>
      <c r="K13" s="140">
        <v>24007367</v>
      </c>
      <c r="L13" s="140">
        <v>13106038</v>
      </c>
      <c r="M13" s="140">
        <v>987195929</v>
      </c>
      <c r="N13" s="141">
        <v>0</v>
      </c>
      <c r="O13" s="140">
        <v>938042318</v>
      </c>
      <c r="P13" s="140">
        <v>938042318</v>
      </c>
      <c r="Q13" s="141">
        <v>0</v>
      </c>
      <c r="R13" s="140">
        <v>49153611</v>
      </c>
      <c r="S13" s="141">
        <v>0</v>
      </c>
      <c r="T13" s="140">
        <v>938042318</v>
      </c>
      <c r="U13" s="140">
        <v>938042318</v>
      </c>
      <c r="V13" s="140">
        <v>49153611</v>
      </c>
      <c r="W13" s="140">
        <v>938042318</v>
      </c>
      <c r="X13" s="141">
        <v>0</v>
      </c>
      <c r="Y13" s="140">
        <v>935883139</v>
      </c>
      <c r="Z13" s="140">
        <v>935883139</v>
      </c>
      <c r="AA13" s="140">
        <v>2159179</v>
      </c>
    </row>
    <row r="14" spans="1:28" ht="16.5" hidden="1" customHeight="1" x14ac:dyDescent="0.25">
      <c r="A14" s="139" t="s">
        <v>553</v>
      </c>
      <c r="B14" s="139" t="s">
        <v>554</v>
      </c>
      <c r="C14" s="139" t="s">
        <v>541</v>
      </c>
      <c r="D14" s="139" t="s">
        <v>555</v>
      </c>
      <c r="E14" s="139" t="s">
        <v>556</v>
      </c>
      <c r="F14" s="140">
        <v>775965124</v>
      </c>
      <c r="G14" s="141">
        <v>0</v>
      </c>
      <c r="H14" s="141">
        <v>0</v>
      </c>
      <c r="I14" s="141">
        <v>0</v>
      </c>
      <c r="J14" s="141">
        <v>0</v>
      </c>
      <c r="K14" s="140">
        <v>16220000</v>
      </c>
      <c r="L14" s="140">
        <v>13106038</v>
      </c>
      <c r="M14" s="140">
        <v>779079086</v>
      </c>
      <c r="N14" s="141">
        <v>0</v>
      </c>
      <c r="O14" s="140">
        <v>748523690</v>
      </c>
      <c r="P14" s="140">
        <v>748523690</v>
      </c>
      <c r="Q14" s="141">
        <v>0</v>
      </c>
      <c r="R14" s="140">
        <v>30555396</v>
      </c>
      <c r="S14" s="141">
        <v>0</v>
      </c>
      <c r="T14" s="140">
        <v>748523690</v>
      </c>
      <c r="U14" s="140">
        <v>748523690</v>
      </c>
      <c r="V14" s="140">
        <v>30555396</v>
      </c>
      <c r="W14" s="140">
        <v>748523690</v>
      </c>
      <c r="X14" s="141">
        <v>0</v>
      </c>
      <c r="Y14" s="140">
        <v>748523690</v>
      </c>
      <c r="Z14" s="140">
        <v>748523690</v>
      </c>
      <c r="AA14" s="141">
        <v>0</v>
      </c>
    </row>
    <row r="15" spans="1:28" ht="16.5" hidden="1" customHeight="1" x14ac:dyDescent="0.25">
      <c r="A15" s="139" t="s">
        <v>557</v>
      </c>
      <c r="B15" s="139" t="s">
        <v>558</v>
      </c>
      <c r="C15" s="139" t="s">
        <v>541</v>
      </c>
      <c r="D15" s="139" t="s">
        <v>559</v>
      </c>
      <c r="E15" s="139" t="s">
        <v>556</v>
      </c>
      <c r="F15" s="140">
        <v>66549782</v>
      </c>
      <c r="G15" s="141">
        <v>0</v>
      </c>
      <c r="H15" s="141">
        <v>0</v>
      </c>
      <c r="I15" s="141">
        <v>0</v>
      </c>
      <c r="J15" s="141">
        <v>0</v>
      </c>
      <c r="K15" s="140">
        <v>2100000</v>
      </c>
      <c r="L15" s="141">
        <v>0</v>
      </c>
      <c r="M15" s="140">
        <v>68649782</v>
      </c>
      <c r="N15" s="141">
        <v>0</v>
      </c>
      <c r="O15" s="140">
        <v>64522130</v>
      </c>
      <c r="P15" s="140">
        <v>64522130</v>
      </c>
      <c r="Q15" s="141">
        <v>0</v>
      </c>
      <c r="R15" s="140">
        <v>4127652</v>
      </c>
      <c r="S15" s="141">
        <v>0</v>
      </c>
      <c r="T15" s="140">
        <v>64522130</v>
      </c>
      <c r="U15" s="140">
        <v>64522130</v>
      </c>
      <c r="V15" s="140">
        <v>4127652</v>
      </c>
      <c r="W15" s="140">
        <v>64522130</v>
      </c>
      <c r="X15" s="141">
        <v>0</v>
      </c>
      <c r="Y15" s="140">
        <v>64522130</v>
      </c>
      <c r="Z15" s="140">
        <v>64522130</v>
      </c>
      <c r="AA15" s="141">
        <v>0</v>
      </c>
    </row>
    <row r="16" spans="1:28" ht="16.5" hidden="1" customHeight="1" x14ac:dyDescent="0.25">
      <c r="A16" s="139" t="s">
        <v>560</v>
      </c>
      <c r="B16" s="139" t="s">
        <v>561</v>
      </c>
      <c r="C16" s="139" t="s">
        <v>541</v>
      </c>
      <c r="D16" s="139" t="s">
        <v>562</v>
      </c>
      <c r="E16" s="139" t="s">
        <v>556</v>
      </c>
      <c r="F16" s="140">
        <v>22632315</v>
      </c>
      <c r="G16" s="141">
        <v>0</v>
      </c>
      <c r="H16" s="141">
        <v>0</v>
      </c>
      <c r="I16" s="141">
        <v>0</v>
      </c>
      <c r="J16" s="141">
        <v>0</v>
      </c>
      <c r="K16" s="140">
        <v>2177367</v>
      </c>
      <c r="L16" s="141">
        <v>0</v>
      </c>
      <c r="M16" s="140">
        <v>24809682</v>
      </c>
      <c r="N16" s="141">
        <v>0</v>
      </c>
      <c r="O16" s="140">
        <v>24776193</v>
      </c>
      <c r="P16" s="140">
        <v>24776193</v>
      </c>
      <c r="Q16" s="141">
        <v>0</v>
      </c>
      <c r="R16" s="140">
        <v>33489</v>
      </c>
      <c r="S16" s="141">
        <v>0</v>
      </c>
      <c r="T16" s="140">
        <v>24776193</v>
      </c>
      <c r="U16" s="140">
        <v>24776193</v>
      </c>
      <c r="V16" s="140">
        <v>33489</v>
      </c>
      <c r="W16" s="140">
        <v>24776193</v>
      </c>
      <c r="X16" s="141">
        <v>0</v>
      </c>
      <c r="Y16" s="140">
        <v>24459682</v>
      </c>
      <c r="Z16" s="140">
        <v>24459682</v>
      </c>
      <c r="AA16" s="140">
        <v>316511</v>
      </c>
    </row>
    <row r="17" spans="1:27" ht="16.5" hidden="1" customHeight="1" x14ac:dyDescent="0.25">
      <c r="A17" s="139" t="s">
        <v>539</v>
      </c>
      <c r="B17" s="139" t="s">
        <v>563</v>
      </c>
      <c r="C17" s="139" t="s">
        <v>541</v>
      </c>
      <c r="D17" s="139" t="s">
        <v>564</v>
      </c>
      <c r="E17" s="139" t="s">
        <v>539</v>
      </c>
      <c r="F17" s="140">
        <v>111147379</v>
      </c>
      <c r="G17" s="141">
        <v>0</v>
      </c>
      <c r="H17" s="141">
        <v>0</v>
      </c>
      <c r="I17" s="141">
        <v>0</v>
      </c>
      <c r="J17" s="141">
        <v>0</v>
      </c>
      <c r="K17" s="140">
        <v>3510000</v>
      </c>
      <c r="L17" s="141">
        <v>0</v>
      </c>
      <c r="M17" s="140">
        <v>114657379</v>
      </c>
      <c r="N17" s="141">
        <v>0</v>
      </c>
      <c r="O17" s="140">
        <v>100220305</v>
      </c>
      <c r="P17" s="140">
        <v>100220305</v>
      </c>
      <c r="Q17" s="141">
        <v>0</v>
      </c>
      <c r="R17" s="140">
        <v>14437074</v>
      </c>
      <c r="S17" s="141">
        <v>0</v>
      </c>
      <c r="T17" s="140">
        <v>100220305</v>
      </c>
      <c r="U17" s="140">
        <v>100220305</v>
      </c>
      <c r="V17" s="140">
        <v>14437074</v>
      </c>
      <c r="W17" s="140">
        <v>100220305</v>
      </c>
      <c r="X17" s="141">
        <v>0</v>
      </c>
      <c r="Y17" s="140">
        <v>98377637</v>
      </c>
      <c r="Z17" s="140">
        <v>98377637</v>
      </c>
      <c r="AA17" s="140">
        <v>1842668</v>
      </c>
    </row>
    <row r="18" spans="1:27" ht="16.5" hidden="1" customHeight="1" x14ac:dyDescent="0.25">
      <c r="A18" s="139" t="s">
        <v>565</v>
      </c>
      <c r="B18" s="139" t="s">
        <v>566</v>
      </c>
      <c r="C18" s="139" t="s">
        <v>541</v>
      </c>
      <c r="D18" s="139" t="s">
        <v>567</v>
      </c>
      <c r="E18" s="139" t="s">
        <v>556</v>
      </c>
      <c r="F18" s="140">
        <v>75099581</v>
      </c>
      <c r="G18" s="141">
        <v>0</v>
      </c>
      <c r="H18" s="141">
        <v>0</v>
      </c>
      <c r="I18" s="141">
        <v>0</v>
      </c>
      <c r="J18" s="141">
        <v>0</v>
      </c>
      <c r="K18" s="140">
        <v>2360000</v>
      </c>
      <c r="L18" s="141">
        <v>0</v>
      </c>
      <c r="M18" s="140">
        <v>77459581</v>
      </c>
      <c r="N18" s="141">
        <v>0</v>
      </c>
      <c r="O18" s="140">
        <v>74169462</v>
      </c>
      <c r="P18" s="140">
        <v>74169462</v>
      </c>
      <c r="Q18" s="141">
        <v>0</v>
      </c>
      <c r="R18" s="140">
        <v>3290119</v>
      </c>
      <c r="S18" s="141">
        <v>0</v>
      </c>
      <c r="T18" s="140">
        <v>74169462</v>
      </c>
      <c r="U18" s="140">
        <v>74169462</v>
      </c>
      <c r="V18" s="140">
        <v>3290119</v>
      </c>
      <c r="W18" s="140">
        <v>74169462</v>
      </c>
      <c r="X18" s="141">
        <v>0</v>
      </c>
      <c r="Y18" s="140">
        <v>74169462</v>
      </c>
      <c r="Z18" s="140">
        <v>74169462</v>
      </c>
      <c r="AA18" s="141">
        <v>0</v>
      </c>
    </row>
    <row r="19" spans="1:27" ht="16.5" hidden="1" customHeight="1" x14ac:dyDescent="0.25">
      <c r="A19" s="139" t="s">
        <v>568</v>
      </c>
      <c r="B19" s="139" t="s">
        <v>569</v>
      </c>
      <c r="C19" s="139" t="s">
        <v>541</v>
      </c>
      <c r="D19" s="139" t="s">
        <v>570</v>
      </c>
      <c r="E19" s="139" t="s">
        <v>571</v>
      </c>
      <c r="F19" s="141">
        <v>0</v>
      </c>
      <c r="G19" s="141">
        <v>0</v>
      </c>
      <c r="H19" s="141">
        <v>0</v>
      </c>
      <c r="I19" s="141">
        <v>0</v>
      </c>
      <c r="J19" s="141">
        <v>0</v>
      </c>
      <c r="K19" s="140">
        <v>10000000</v>
      </c>
      <c r="L19" s="141">
        <v>0</v>
      </c>
      <c r="M19" s="140">
        <v>10000000</v>
      </c>
      <c r="N19" s="141">
        <v>0</v>
      </c>
      <c r="O19" s="140">
        <v>6257182</v>
      </c>
      <c r="P19" s="140">
        <v>6257182</v>
      </c>
      <c r="Q19" s="141">
        <v>0</v>
      </c>
      <c r="R19" s="140">
        <v>3742818</v>
      </c>
      <c r="S19" s="141">
        <v>0</v>
      </c>
      <c r="T19" s="140">
        <v>6257182</v>
      </c>
      <c r="U19" s="140">
        <v>6257182</v>
      </c>
      <c r="V19" s="140">
        <v>3742818</v>
      </c>
      <c r="W19" s="140">
        <v>6257182</v>
      </c>
      <c r="X19" s="141">
        <v>0</v>
      </c>
      <c r="Y19" s="140">
        <v>6257182</v>
      </c>
      <c r="Z19" s="140">
        <v>6257182</v>
      </c>
      <c r="AA19" s="141">
        <v>0</v>
      </c>
    </row>
    <row r="20" spans="1:27" ht="16.5" hidden="1" customHeight="1" x14ac:dyDescent="0.25">
      <c r="A20" s="139" t="s">
        <v>572</v>
      </c>
      <c r="B20" s="139" t="s">
        <v>573</v>
      </c>
      <c r="C20" s="139" t="s">
        <v>541</v>
      </c>
      <c r="D20" s="139" t="s">
        <v>574</v>
      </c>
      <c r="E20" s="139" t="s">
        <v>556</v>
      </c>
      <c r="F20" s="140">
        <v>36047798</v>
      </c>
      <c r="G20" s="141">
        <v>0</v>
      </c>
      <c r="H20" s="141">
        <v>0</v>
      </c>
      <c r="I20" s="141">
        <v>0</v>
      </c>
      <c r="J20" s="141">
        <v>0</v>
      </c>
      <c r="K20" s="140">
        <v>1150000</v>
      </c>
      <c r="L20" s="141">
        <v>0</v>
      </c>
      <c r="M20" s="140">
        <v>37197798</v>
      </c>
      <c r="N20" s="141">
        <v>0</v>
      </c>
      <c r="O20" s="140">
        <v>26050843</v>
      </c>
      <c r="P20" s="140">
        <v>26050843</v>
      </c>
      <c r="Q20" s="141">
        <v>0</v>
      </c>
      <c r="R20" s="140">
        <v>11146955</v>
      </c>
      <c r="S20" s="141">
        <v>0</v>
      </c>
      <c r="T20" s="140">
        <v>26050843</v>
      </c>
      <c r="U20" s="140">
        <v>26050843</v>
      </c>
      <c r="V20" s="140">
        <v>11146955</v>
      </c>
      <c r="W20" s="140">
        <v>26050843</v>
      </c>
      <c r="X20" s="141">
        <v>0</v>
      </c>
      <c r="Y20" s="140">
        <v>24208175</v>
      </c>
      <c r="Z20" s="140">
        <v>24208175</v>
      </c>
      <c r="AA20" s="140">
        <v>1842668</v>
      </c>
    </row>
    <row r="21" spans="1:27" ht="16.5" hidden="1" customHeight="1" x14ac:dyDescent="0.25">
      <c r="A21" s="139" t="s">
        <v>575</v>
      </c>
      <c r="B21" s="139" t="s">
        <v>576</v>
      </c>
      <c r="C21" s="139" t="s">
        <v>541</v>
      </c>
      <c r="D21" s="139" t="s">
        <v>577</v>
      </c>
      <c r="E21" s="139" t="s">
        <v>556</v>
      </c>
      <c r="F21" s="140">
        <v>9762946</v>
      </c>
      <c r="G21" s="141">
        <v>0</v>
      </c>
      <c r="H21" s="141">
        <v>0</v>
      </c>
      <c r="I21" s="141">
        <v>0</v>
      </c>
      <c r="J21" s="141">
        <v>0</v>
      </c>
      <c r="K21" s="140">
        <v>310000</v>
      </c>
      <c r="L21" s="141">
        <v>0</v>
      </c>
      <c r="M21" s="140">
        <v>10072946</v>
      </c>
      <c r="N21" s="141">
        <v>0</v>
      </c>
      <c r="O21" s="140">
        <v>8176272</v>
      </c>
      <c r="P21" s="140">
        <v>8176272</v>
      </c>
      <c r="Q21" s="141">
        <v>0</v>
      </c>
      <c r="R21" s="140">
        <v>1896674</v>
      </c>
      <c r="S21" s="141">
        <v>0</v>
      </c>
      <c r="T21" s="140">
        <v>8176272</v>
      </c>
      <c r="U21" s="140">
        <v>8176272</v>
      </c>
      <c r="V21" s="140">
        <v>1896674</v>
      </c>
      <c r="W21" s="140">
        <v>8176272</v>
      </c>
      <c r="X21" s="141">
        <v>0</v>
      </c>
      <c r="Y21" s="140">
        <v>1364925</v>
      </c>
      <c r="Z21" s="140">
        <v>1364925</v>
      </c>
      <c r="AA21" s="140">
        <v>6811347</v>
      </c>
    </row>
    <row r="22" spans="1:27" ht="16.5" hidden="1" customHeight="1" x14ac:dyDescent="0.25">
      <c r="A22" s="139" t="s">
        <v>539</v>
      </c>
      <c r="B22" s="139" t="s">
        <v>578</v>
      </c>
      <c r="C22" s="139" t="s">
        <v>541</v>
      </c>
      <c r="D22" s="139" t="s">
        <v>579</v>
      </c>
      <c r="E22" s="139" t="s">
        <v>539</v>
      </c>
      <c r="F22" s="140">
        <v>335322951</v>
      </c>
      <c r="G22" s="141">
        <v>0</v>
      </c>
      <c r="H22" s="141">
        <v>0</v>
      </c>
      <c r="I22" s="141">
        <v>0</v>
      </c>
      <c r="J22" s="141">
        <v>0</v>
      </c>
      <c r="K22" s="140">
        <v>11360000</v>
      </c>
      <c r="L22" s="141">
        <v>0</v>
      </c>
      <c r="M22" s="140">
        <v>346682951</v>
      </c>
      <c r="N22" s="141">
        <v>0</v>
      </c>
      <c r="O22" s="140">
        <v>332585040</v>
      </c>
      <c r="P22" s="140">
        <v>332585040</v>
      </c>
      <c r="Q22" s="141">
        <v>0</v>
      </c>
      <c r="R22" s="140">
        <v>14097911</v>
      </c>
      <c r="S22" s="141">
        <v>0</v>
      </c>
      <c r="T22" s="140">
        <v>332585040</v>
      </c>
      <c r="U22" s="140">
        <v>332585040</v>
      </c>
      <c r="V22" s="140">
        <v>14097911</v>
      </c>
      <c r="W22" s="140">
        <v>332585040</v>
      </c>
      <c r="X22" s="141">
        <v>0</v>
      </c>
      <c r="Y22" s="140">
        <v>271572170</v>
      </c>
      <c r="Z22" s="140">
        <v>271572170</v>
      </c>
      <c r="AA22" s="140">
        <v>61012870</v>
      </c>
    </row>
    <row r="23" spans="1:27" ht="16.5" hidden="1" customHeight="1" x14ac:dyDescent="0.25">
      <c r="A23" s="139" t="s">
        <v>580</v>
      </c>
      <c r="B23" s="139" t="s">
        <v>581</v>
      </c>
      <c r="C23" s="139" t="s">
        <v>541</v>
      </c>
      <c r="D23" s="139" t="s">
        <v>582</v>
      </c>
      <c r="E23" s="139" t="s">
        <v>556</v>
      </c>
      <c r="F23" s="140">
        <v>95788061</v>
      </c>
      <c r="G23" s="141">
        <v>0</v>
      </c>
      <c r="H23" s="141">
        <v>0</v>
      </c>
      <c r="I23" s="141">
        <v>0</v>
      </c>
      <c r="J23" s="141">
        <v>0</v>
      </c>
      <c r="K23" s="140">
        <v>3050000</v>
      </c>
      <c r="L23" s="141">
        <v>0</v>
      </c>
      <c r="M23" s="140">
        <v>98838061</v>
      </c>
      <c r="N23" s="141">
        <v>0</v>
      </c>
      <c r="O23" s="140">
        <v>97062050</v>
      </c>
      <c r="P23" s="140">
        <v>97062050</v>
      </c>
      <c r="Q23" s="141">
        <v>0</v>
      </c>
      <c r="R23" s="140">
        <v>1776011</v>
      </c>
      <c r="S23" s="141">
        <v>0</v>
      </c>
      <c r="T23" s="140">
        <v>97062050</v>
      </c>
      <c r="U23" s="140">
        <v>97062050</v>
      </c>
      <c r="V23" s="140">
        <v>1776011</v>
      </c>
      <c r="W23" s="140">
        <v>97062050</v>
      </c>
      <c r="X23" s="141">
        <v>0</v>
      </c>
      <c r="Y23" s="140">
        <v>97062050</v>
      </c>
      <c r="Z23" s="140">
        <v>97062050</v>
      </c>
      <c r="AA23" s="141">
        <v>0</v>
      </c>
    </row>
    <row r="24" spans="1:27" ht="16.5" hidden="1" customHeight="1" x14ac:dyDescent="0.25">
      <c r="A24" s="139" t="s">
        <v>583</v>
      </c>
      <c r="B24" s="139" t="s">
        <v>584</v>
      </c>
      <c r="C24" s="139" t="s">
        <v>541</v>
      </c>
      <c r="D24" s="139" t="s">
        <v>585</v>
      </c>
      <c r="E24" s="139" t="s">
        <v>556</v>
      </c>
      <c r="F24" s="140">
        <v>67849877</v>
      </c>
      <c r="G24" s="141">
        <v>0</v>
      </c>
      <c r="H24" s="141">
        <v>0</v>
      </c>
      <c r="I24" s="141">
        <v>0</v>
      </c>
      <c r="J24" s="141">
        <v>0</v>
      </c>
      <c r="K24" s="140">
        <v>2160000</v>
      </c>
      <c r="L24" s="141">
        <v>0</v>
      </c>
      <c r="M24" s="140">
        <v>70009877</v>
      </c>
      <c r="N24" s="141">
        <v>0</v>
      </c>
      <c r="O24" s="140">
        <v>68902648</v>
      </c>
      <c r="P24" s="140">
        <v>68902648</v>
      </c>
      <c r="Q24" s="141">
        <v>0</v>
      </c>
      <c r="R24" s="140">
        <v>1107229</v>
      </c>
      <c r="S24" s="141">
        <v>0</v>
      </c>
      <c r="T24" s="140">
        <v>68902648</v>
      </c>
      <c r="U24" s="140">
        <v>68902648</v>
      </c>
      <c r="V24" s="140">
        <v>1107229</v>
      </c>
      <c r="W24" s="140">
        <v>68902648</v>
      </c>
      <c r="X24" s="141">
        <v>0</v>
      </c>
      <c r="Y24" s="140">
        <v>68902648</v>
      </c>
      <c r="Z24" s="140">
        <v>68902648</v>
      </c>
      <c r="AA24" s="141">
        <v>0</v>
      </c>
    </row>
    <row r="25" spans="1:27" ht="16.5" hidden="1" customHeight="1" x14ac:dyDescent="0.25">
      <c r="A25" s="139" t="s">
        <v>586</v>
      </c>
      <c r="B25" s="139" t="s">
        <v>587</v>
      </c>
      <c r="C25" s="139" t="s">
        <v>541</v>
      </c>
      <c r="D25" s="139" t="s">
        <v>588</v>
      </c>
      <c r="E25" s="139" t="s">
        <v>556</v>
      </c>
      <c r="F25" s="140">
        <v>81357880</v>
      </c>
      <c r="G25" s="141">
        <v>0</v>
      </c>
      <c r="H25" s="141">
        <v>0</v>
      </c>
      <c r="I25" s="141">
        <v>0</v>
      </c>
      <c r="J25" s="141">
        <v>0</v>
      </c>
      <c r="K25" s="140">
        <v>2560000</v>
      </c>
      <c r="L25" s="141">
        <v>0</v>
      </c>
      <c r="M25" s="140">
        <v>83917880</v>
      </c>
      <c r="N25" s="141">
        <v>0</v>
      </c>
      <c r="O25" s="140">
        <v>79123742</v>
      </c>
      <c r="P25" s="140">
        <v>79123742</v>
      </c>
      <c r="Q25" s="141">
        <v>0</v>
      </c>
      <c r="R25" s="140">
        <v>4794138</v>
      </c>
      <c r="S25" s="141">
        <v>0</v>
      </c>
      <c r="T25" s="140">
        <v>79123742</v>
      </c>
      <c r="U25" s="140">
        <v>79123742</v>
      </c>
      <c r="V25" s="140">
        <v>4794138</v>
      </c>
      <c r="W25" s="140">
        <v>79123742</v>
      </c>
      <c r="X25" s="141">
        <v>0</v>
      </c>
      <c r="Y25" s="140">
        <v>18110872</v>
      </c>
      <c r="Z25" s="140">
        <v>18110872</v>
      </c>
      <c r="AA25" s="140">
        <v>61012870</v>
      </c>
    </row>
    <row r="26" spans="1:27" ht="16.5" hidden="1" customHeight="1" x14ac:dyDescent="0.25">
      <c r="A26" s="139" t="s">
        <v>589</v>
      </c>
      <c r="B26" s="139" t="s">
        <v>590</v>
      </c>
      <c r="C26" s="139" t="s">
        <v>541</v>
      </c>
      <c r="D26" s="139" t="s">
        <v>591</v>
      </c>
      <c r="E26" s="139" t="s">
        <v>556</v>
      </c>
      <c r="F26" s="140">
        <v>38048157</v>
      </c>
      <c r="G26" s="141">
        <v>0</v>
      </c>
      <c r="H26" s="141">
        <v>0</v>
      </c>
      <c r="I26" s="141">
        <v>0</v>
      </c>
      <c r="J26" s="141">
        <v>0</v>
      </c>
      <c r="K26" s="140">
        <v>1312000</v>
      </c>
      <c r="L26" s="141">
        <v>0</v>
      </c>
      <c r="M26" s="140">
        <v>39360157</v>
      </c>
      <c r="N26" s="141">
        <v>0</v>
      </c>
      <c r="O26" s="140">
        <v>37141100</v>
      </c>
      <c r="P26" s="140">
        <v>37141100</v>
      </c>
      <c r="Q26" s="141">
        <v>0</v>
      </c>
      <c r="R26" s="140">
        <v>2219057</v>
      </c>
      <c r="S26" s="141">
        <v>0</v>
      </c>
      <c r="T26" s="140">
        <v>37141100</v>
      </c>
      <c r="U26" s="140">
        <v>37141100</v>
      </c>
      <c r="V26" s="140">
        <v>2219057</v>
      </c>
      <c r="W26" s="140">
        <v>37141100</v>
      </c>
      <c r="X26" s="141">
        <v>0</v>
      </c>
      <c r="Y26" s="140">
        <v>37141100</v>
      </c>
      <c r="Z26" s="140">
        <v>37141100</v>
      </c>
      <c r="AA26" s="141">
        <v>0</v>
      </c>
    </row>
    <row r="27" spans="1:27" ht="16.5" hidden="1" customHeight="1" x14ac:dyDescent="0.25">
      <c r="A27" s="139" t="s">
        <v>592</v>
      </c>
      <c r="B27" s="139" t="s">
        <v>593</v>
      </c>
      <c r="C27" s="139" t="s">
        <v>541</v>
      </c>
      <c r="D27" s="139" t="s">
        <v>594</v>
      </c>
      <c r="E27" s="139" t="s">
        <v>556</v>
      </c>
      <c r="F27" s="140">
        <v>4718781</v>
      </c>
      <c r="G27" s="141">
        <v>0</v>
      </c>
      <c r="H27" s="141">
        <v>0</v>
      </c>
      <c r="I27" s="141">
        <v>0</v>
      </c>
      <c r="J27" s="141">
        <v>0</v>
      </c>
      <c r="K27" s="140">
        <v>637000</v>
      </c>
      <c r="L27" s="141">
        <v>0</v>
      </c>
      <c r="M27" s="140">
        <v>5355781</v>
      </c>
      <c r="N27" s="141">
        <v>0</v>
      </c>
      <c r="O27" s="140">
        <v>3921900</v>
      </c>
      <c r="P27" s="140">
        <v>3921900</v>
      </c>
      <c r="Q27" s="141">
        <v>0</v>
      </c>
      <c r="R27" s="140">
        <v>1433881</v>
      </c>
      <c r="S27" s="141">
        <v>0</v>
      </c>
      <c r="T27" s="140">
        <v>3921900</v>
      </c>
      <c r="U27" s="140">
        <v>3921900</v>
      </c>
      <c r="V27" s="140">
        <v>1433881</v>
      </c>
      <c r="W27" s="140">
        <v>3921900</v>
      </c>
      <c r="X27" s="141">
        <v>0</v>
      </c>
      <c r="Y27" s="140">
        <v>3921900</v>
      </c>
      <c r="Z27" s="140">
        <v>3921900</v>
      </c>
      <c r="AA27" s="141">
        <v>0</v>
      </c>
    </row>
    <row r="28" spans="1:27" ht="16.5" hidden="1" customHeight="1" x14ac:dyDescent="0.25">
      <c r="A28" s="139" t="s">
        <v>595</v>
      </c>
      <c r="B28" s="139" t="s">
        <v>596</v>
      </c>
      <c r="C28" s="139" t="s">
        <v>541</v>
      </c>
      <c r="D28" s="139" t="s">
        <v>597</v>
      </c>
      <c r="E28" s="139" t="s">
        <v>556</v>
      </c>
      <c r="F28" s="140">
        <v>28536117</v>
      </c>
      <c r="G28" s="141">
        <v>0</v>
      </c>
      <c r="H28" s="141">
        <v>0</v>
      </c>
      <c r="I28" s="141">
        <v>0</v>
      </c>
      <c r="J28" s="141">
        <v>0</v>
      </c>
      <c r="K28" s="140">
        <v>985000</v>
      </c>
      <c r="L28" s="141">
        <v>0</v>
      </c>
      <c r="M28" s="140">
        <v>29521117</v>
      </c>
      <c r="N28" s="141">
        <v>0</v>
      </c>
      <c r="O28" s="140">
        <v>27859500</v>
      </c>
      <c r="P28" s="140">
        <v>27859500</v>
      </c>
      <c r="Q28" s="141">
        <v>0</v>
      </c>
      <c r="R28" s="140">
        <v>1661617</v>
      </c>
      <c r="S28" s="141">
        <v>0</v>
      </c>
      <c r="T28" s="140">
        <v>27859500</v>
      </c>
      <c r="U28" s="140">
        <v>27859500</v>
      </c>
      <c r="V28" s="140">
        <v>1661617</v>
      </c>
      <c r="W28" s="140">
        <v>27859500</v>
      </c>
      <c r="X28" s="141">
        <v>0</v>
      </c>
      <c r="Y28" s="140">
        <v>27859500</v>
      </c>
      <c r="Z28" s="140">
        <v>27859500</v>
      </c>
      <c r="AA28" s="141">
        <v>0</v>
      </c>
    </row>
    <row r="29" spans="1:27" ht="16.5" hidden="1" customHeight="1" x14ac:dyDescent="0.25">
      <c r="A29" s="139" t="s">
        <v>598</v>
      </c>
      <c r="B29" s="139" t="s">
        <v>599</v>
      </c>
      <c r="C29" s="139" t="s">
        <v>541</v>
      </c>
      <c r="D29" s="139" t="s">
        <v>600</v>
      </c>
      <c r="E29" s="139" t="s">
        <v>556</v>
      </c>
      <c r="F29" s="140">
        <v>19024078</v>
      </c>
      <c r="G29" s="141">
        <v>0</v>
      </c>
      <c r="H29" s="141">
        <v>0</v>
      </c>
      <c r="I29" s="141">
        <v>0</v>
      </c>
      <c r="J29" s="141">
        <v>0</v>
      </c>
      <c r="K29" s="140">
        <v>656000</v>
      </c>
      <c r="L29" s="141">
        <v>0</v>
      </c>
      <c r="M29" s="140">
        <v>19680078</v>
      </c>
      <c r="N29" s="141">
        <v>0</v>
      </c>
      <c r="O29" s="140">
        <v>18574100</v>
      </c>
      <c r="P29" s="140">
        <v>18574100</v>
      </c>
      <c r="Q29" s="141">
        <v>0</v>
      </c>
      <c r="R29" s="140">
        <v>1105978</v>
      </c>
      <c r="S29" s="141">
        <v>0</v>
      </c>
      <c r="T29" s="140">
        <v>18574100</v>
      </c>
      <c r="U29" s="140">
        <v>18574100</v>
      </c>
      <c r="V29" s="140">
        <v>1105978</v>
      </c>
      <c r="W29" s="140">
        <v>18574100</v>
      </c>
      <c r="X29" s="141">
        <v>0</v>
      </c>
      <c r="Y29" s="140">
        <v>18574100</v>
      </c>
      <c r="Z29" s="140">
        <v>18574100</v>
      </c>
      <c r="AA29" s="141">
        <v>0</v>
      </c>
    </row>
    <row r="30" spans="1:27" ht="16.5" hidden="1" customHeight="1" x14ac:dyDescent="0.25">
      <c r="A30" s="139" t="s">
        <v>539</v>
      </c>
      <c r="B30" s="139" t="s">
        <v>601</v>
      </c>
      <c r="C30" s="139" t="s">
        <v>541</v>
      </c>
      <c r="D30" s="139" t="s">
        <v>602</v>
      </c>
      <c r="E30" s="139" t="s">
        <v>539</v>
      </c>
      <c r="F30" s="140">
        <v>67181020</v>
      </c>
      <c r="G30" s="141">
        <v>0</v>
      </c>
      <c r="H30" s="141">
        <v>0</v>
      </c>
      <c r="I30" s="141">
        <v>0</v>
      </c>
      <c r="J30" s="141">
        <v>0</v>
      </c>
      <c r="K30" s="140">
        <v>13434671</v>
      </c>
      <c r="L30" s="141">
        <v>0</v>
      </c>
      <c r="M30" s="140">
        <v>80615691</v>
      </c>
      <c r="N30" s="141">
        <v>0</v>
      </c>
      <c r="O30" s="140">
        <v>40947420</v>
      </c>
      <c r="P30" s="140">
        <v>40947420</v>
      </c>
      <c r="Q30" s="141">
        <v>0</v>
      </c>
      <c r="R30" s="140">
        <v>39668271</v>
      </c>
      <c r="S30" s="141">
        <v>0</v>
      </c>
      <c r="T30" s="140">
        <v>40947420</v>
      </c>
      <c r="U30" s="140">
        <v>40947420</v>
      </c>
      <c r="V30" s="140">
        <v>39668271</v>
      </c>
      <c r="W30" s="140">
        <v>40947420</v>
      </c>
      <c r="X30" s="141">
        <v>0</v>
      </c>
      <c r="Y30" s="140">
        <v>37942267</v>
      </c>
      <c r="Z30" s="140">
        <v>37942267</v>
      </c>
      <c r="AA30" s="140">
        <v>3005153</v>
      </c>
    </row>
    <row r="31" spans="1:27" ht="16.5" hidden="1" customHeight="1" x14ac:dyDescent="0.25">
      <c r="A31" s="139" t="s">
        <v>539</v>
      </c>
      <c r="B31" s="139" t="s">
        <v>603</v>
      </c>
      <c r="C31" s="139" t="s">
        <v>541</v>
      </c>
      <c r="D31" s="139" t="s">
        <v>564</v>
      </c>
      <c r="E31" s="139" t="s">
        <v>539</v>
      </c>
      <c r="F31" s="140">
        <v>67181020</v>
      </c>
      <c r="G31" s="141">
        <v>0</v>
      </c>
      <c r="H31" s="141">
        <v>0</v>
      </c>
      <c r="I31" s="141">
        <v>0</v>
      </c>
      <c r="J31" s="141">
        <v>0</v>
      </c>
      <c r="K31" s="140">
        <v>13434671</v>
      </c>
      <c r="L31" s="141">
        <v>0</v>
      </c>
      <c r="M31" s="140">
        <v>80615691</v>
      </c>
      <c r="N31" s="141">
        <v>0</v>
      </c>
      <c r="O31" s="140">
        <v>40947420</v>
      </c>
      <c r="P31" s="140">
        <v>40947420</v>
      </c>
      <c r="Q31" s="141">
        <v>0</v>
      </c>
      <c r="R31" s="140">
        <v>39668271</v>
      </c>
      <c r="S31" s="141">
        <v>0</v>
      </c>
      <c r="T31" s="140">
        <v>40947420</v>
      </c>
      <c r="U31" s="140">
        <v>40947420</v>
      </c>
      <c r="V31" s="140">
        <v>39668271</v>
      </c>
      <c r="W31" s="140">
        <v>40947420</v>
      </c>
      <c r="X31" s="141">
        <v>0</v>
      </c>
      <c r="Y31" s="140">
        <v>37942267</v>
      </c>
      <c r="Z31" s="140">
        <v>37942267</v>
      </c>
      <c r="AA31" s="140">
        <v>3005153</v>
      </c>
    </row>
    <row r="32" spans="1:27" ht="16.5" hidden="1" customHeight="1" x14ac:dyDescent="0.25">
      <c r="A32" s="139" t="s">
        <v>604</v>
      </c>
      <c r="B32" s="139" t="s">
        <v>605</v>
      </c>
      <c r="C32" s="139" t="s">
        <v>541</v>
      </c>
      <c r="D32" s="139" t="s">
        <v>606</v>
      </c>
      <c r="E32" s="139" t="s">
        <v>556</v>
      </c>
      <c r="F32" s="140">
        <v>52870104</v>
      </c>
      <c r="G32" s="141">
        <v>0</v>
      </c>
      <c r="H32" s="141">
        <v>0</v>
      </c>
      <c r="I32" s="141">
        <v>0</v>
      </c>
      <c r="J32" s="141">
        <v>0</v>
      </c>
      <c r="K32" s="140">
        <v>1660000</v>
      </c>
      <c r="L32" s="141">
        <v>0</v>
      </c>
      <c r="M32" s="140">
        <v>54530104</v>
      </c>
      <c r="N32" s="141">
        <v>0</v>
      </c>
      <c r="O32" s="140">
        <v>23413792</v>
      </c>
      <c r="P32" s="140">
        <v>23413792</v>
      </c>
      <c r="Q32" s="141">
        <v>0</v>
      </c>
      <c r="R32" s="140">
        <v>31116312</v>
      </c>
      <c r="S32" s="141">
        <v>0</v>
      </c>
      <c r="T32" s="140">
        <v>23413792</v>
      </c>
      <c r="U32" s="140">
        <v>23413792</v>
      </c>
      <c r="V32" s="140">
        <v>31116312</v>
      </c>
      <c r="W32" s="140">
        <v>23413792</v>
      </c>
      <c r="X32" s="141">
        <v>0</v>
      </c>
      <c r="Y32" s="140">
        <v>20649790</v>
      </c>
      <c r="Z32" s="140">
        <v>20649790</v>
      </c>
      <c r="AA32" s="140">
        <v>2764002</v>
      </c>
    </row>
    <row r="33" spans="1:27" ht="16.5" hidden="1" customHeight="1" x14ac:dyDescent="0.25">
      <c r="A33" s="139" t="s">
        <v>607</v>
      </c>
      <c r="B33" s="139" t="s">
        <v>608</v>
      </c>
      <c r="C33" s="139" t="s">
        <v>541</v>
      </c>
      <c r="D33" s="139" t="s">
        <v>609</v>
      </c>
      <c r="E33" s="139" t="s">
        <v>610</v>
      </c>
      <c r="F33" s="140">
        <v>10000000</v>
      </c>
      <c r="G33" s="141">
        <v>0</v>
      </c>
      <c r="H33" s="141">
        <v>0</v>
      </c>
      <c r="I33" s="141">
        <v>0</v>
      </c>
      <c r="J33" s="141">
        <v>0</v>
      </c>
      <c r="K33" s="140">
        <v>11638671</v>
      </c>
      <c r="L33" s="141">
        <v>0</v>
      </c>
      <c r="M33" s="140">
        <v>21638671</v>
      </c>
      <c r="N33" s="141">
        <v>0</v>
      </c>
      <c r="O33" s="140">
        <v>14396532</v>
      </c>
      <c r="P33" s="140">
        <v>14396532</v>
      </c>
      <c r="Q33" s="141">
        <v>0</v>
      </c>
      <c r="R33" s="140">
        <v>7242139</v>
      </c>
      <c r="S33" s="141">
        <v>0</v>
      </c>
      <c r="T33" s="140">
        <v>14396532</v>
      </c>
      <c r="U33" s="140">
        <v>14396532</v>
      </c>
      <c r="V33" s="140">
        <v>7242139</v>
      </c>
      <c r="W33" s="140">
        <v>14396532</v>
      </c>
      <c r="X33" s="141">
        <v>0</v>
      </c>
      <c r="Y33" s="140">
        <v>14396532</v>
      </c>
      <c r="Z33" s="140">
        <v>14396532</v>
      </c>
      <c r="AA33" s="141">
        <v>0</v>
      </c>
    </row>
    <row r="34" spans="1:27" ht="16.5" hidden="1" customHeight="1" x14ac:dyDescent="0.25">
      <c r="A34" s="139" t="s">
        <v>611</v>
      </c>
      <c r="B34" s="139" t="s">
        <v>612</v>
      </c>
      <c r="C34" s="139" t="s">
        <v>541</v>
      </c>
      <c r="D34" s="139" t="s">
        <v>613</v>
      </c>
      <c r="E34" s="139" t="s">
        <v>556</v>
      </c>
      <c r="F34" s="140">
        <v>4310916</v>
      </c>
      <c r="G34" s="141">
        <v>0</v>
      </c>
      <c r="H34" s="141">
        <v>0</v>
      </c>
      <c r="I34" s="141">
        <v>0</v>
      </c>
      <c r="J34" s="141">
        <v>0</v>
      </c>
      <c r="K34" s="140">
        <v>136000</v>
      </c>
      <c r="L34" s="141">
        <v>0</v>
      </c>
      <c r="M34" s="140">
        <v>4446916</v>
      </c>
      <c r="N34" s="141">
        <v>0</v>
      </c>
      <c r="O34" s="140">
        <v>3137096</v>
      </c>
      <c r="P34" s="140">
        <v>3137096</v>
      </c>
      <c r="Q34" s="141">
        <v>0</v>
      </c>
      <c r="R34" s="140">
        <v>1309820</v>
      </c>
      <c r="S34" s="141">
        <v>0</v>
      </c>
      <c r="T34" s="140">
        <v>3137096</v>
      </c>
      <c r="U34" s="140">
        <v>3137096</v>
      </c>
      <c r="V34" s="140">
        <v>1309820</v>
      </c>
      <c r="W34" s="140">
        <v>3137096</v>
      </c>
      <c r="X34" s="141">
        <v>0</v>
      </c>
      <c r="Y34" s="140">
        <v>2895945</v>
      </c>
      <c r="Z34" s="140">
        <v>2895945</v>
      </c>
      <c r="AA34" s="140">
        <v>241151</v>
      </c>
    </row>
    <row r="35" spans="1:27" ht="16.5" customHeight="1" x14ac:dyDescent="0.25">
      <c r="A35" s="139" t="s">
        <v>539</v>
      </c>
      <c r="B35" s="139" t="s">
        <v>614</v>
      </c>
      <c r="C35" s="139" t="s">
        <v>541</v>
      </c>
      <c r="D35" s="139" t="s">
        <v>615</v>
      </c>
      <c r="E35" s="139" t="s">
        <v>539</v>
      </c>
      <c r="F35" s="140">
        <v>788491311</v>
      </c>
      <c r="G35" s="141">
        <v>0</v>
      </c>
      <c r="H35" s="141">
        <v>0</v>
      </c>
      <c r="I35" s="141">
        <v>0</v>
      </c>
      <c r="J35" s="141">
        <v>0</v>
      </c>
      <c r="K35" s="140">
        <v>51000000</v>
      </c>
      <c r="L35" s="140">
        <v>92943000</v>
      </c>
      <c r="M35" s="140">
        <v>746548311</v>
      </c>
      <c r="N35" s="141">
        <v>0</v>
      </c>
      <c r="O35" s="140">
        <v>631627588.88</v>
      </c>
      <c r="P35" s="140">
        <v>631627588.88</v>
      </c>
      <c r="Q35" s="141">
        <v>0</v>
      </c>
      <c r="R35" s="140">
        <v>114920722.12</v>
      </c>
      <c r="S35" s="141">
        <v>0</v>
      </c>
      <c r="T35" s="140">
        <v>631627588.88</v>
      </c>
      <c r="U35" s="140">
        <v>631627588.88</v>
      </c>
      <c r="V35" s="140">
        <v>114920722.12</v>
      </c>
      <c r="W35" s="140">
        <v>631627588.88</v>
      </c>
      <c r="X35" s="141">
        <v>0</v>
      </c>
      <c r="Y35" s="140">
        <v>462945770.13</v>
      </c>
      <c r="Z35" s="140">
        <v>462945770.13</v>
      </c>
      <c r="AA35" s="140">
        <v>168681818.75</v>
      </c>
    </row>
    <row r="36" spans="1:27" ht="16.5" hidden="1" customHeight="1" x14ac:dyDescent="0.25">
      <c r="A36" s="139" t="s">
        <v>539</v>
      </c>
      <c r="B36" s="139" t="s">
        <v>616</v>
      </c>
      <c r="C36" s="139" t="s">
        <v>541</v>
      </c>
      <c r="D36" s="139" t="s">
        <v>617</v>
      </c>
      <c r="E36" s="139" t="s">
        <v>539</v>
      </c>
      <c r="F36" s="140">
        <v>788491311</v>
      </c>
      <c r="G36" s="141">
        <v>0</v>
      </c>
      <c r="H36" s="141">
        <v>0</v>
      </c>
      <c r="I36" s="141">
        <v>0</v>
      </c>
      <c r="J36" s="141">
        <v>0</v>
      </c>
      <c r="K36" s="140">
        <v>51000000</v>
      </c>
      <c r="L36" s="140">
        <v>92943000</v>
      </c>
      <c r="M36" s="140">
        <v>746548311</v>
      </c>
      <c r="N36" s="141">
        <v>0</v>
      </c>
      <c r="O36" s="140">
        <v>631627588.88</v>
      </c>
      <c r="P36" s="140">
        <v>631627588.88</v>
      </c>
      <c r="Q36" s="141">
        <v>0</v>
      </c>
      <c r="R36" s="140">
        <v>114920722.12</v>
      </c>
      <c r="S36" s="141">
        <v>0</v>
      </c>
      <c r="T36" s="140">
        <v>631627588.88</v>
      </c>
      <c r="U36" s="140">
        <v>631627588.88</v>
      </c>
      <c r="V36" s="140">
        <v>114920722.12</v>
      </c>
      <c r="W36" s="140">
        <v>631627588.88</v>
      </c>
      <c r="X36" s="141">
        <v>0</v>
      </c>
      <c r="Y36" s="140">
        <v>462945770.13</v>
      </c>
      <c r="Z36" s="140">
        <v>462945770.13</v>
      </c>
      <c r="AA36" s="140">
        <v>168681818.75</v>
      </c>
    </row>
    <row r="37" spans="1:27" ht="16.5" hidden="1" customHeight="1" x14ac:dyDescent="0.25">
      <c r="A37" s="139" t="s">
        <v>539</v>
      </c>
      <c r="B37" s="139" t="s">
        <v>618</v>
      </c>
      <c r="C37" s="139" t="s">
        <v>541</v>
      </c>
      <c r="D37" s="139" t="s">
        <v>619</v>
      </c>
      <c r="E37" s="139" t="s">
        <v>539</v>
      </c>
      <c r="F37" s="140">
        <v>82118061</v>
      </c>
      <c r="G37" s="141">
        <v>0</v>
      </c>
      <c r="H37" s="141">
        <v>0</v>
      </c>
      <c r="I37" s="141">
        <v>0</v>
      </c>
      <c r="J37" s="141">
        <v>0</v>
      </c>
      <c r="K37" s="140">
        <v>15000000</v>
      </c>
      <c r="L37" s="141">
        <v>0</v>
      </c>
      <c r="M37" s="140">
        <v>97118061</v>
      </c>
      <c r="N37" s="141">
        <v>0</v>
      </c>
      <c r="O37" s="140">
        <v>61280858.880000003</v>
      </c>
      <c r="P37" s="140">
        <v>61280858.880000003</v>
      </c>
      <c r="Q37" s="141">
        <v>0</v>
      </c>
      <c r="R37" s="140">
        <v>35837202.119999997</v>
      </c>
      <c r="S37" s="141">
        <v>0</v>
      </c>
      <c r="T37" s="140">
        <v>61280858.880000003</v>
      </c>
      <c r="U37" s="140">
        <v>61280858.880000003</v>
      </c>
      <c r="V37" s="140">
        <v>35837202.119999997</v>
      </c>
      <c r="W37" s="140">
        <v>61280858.880000003</v>
      </c>
      <c r="X37" s="141">
        <v>0</v>
      </c>
      <c r="Y37" s="140">
        <v>43147619.130000003</v>
      </c>
      <c r="Z37" s="140">
        <v>43147619.130000003</v>
      </c>
      <c r="AA37" s="140">
        <v>18133239.75</v>
      </c>
    </row>
    <row r="38" spans="1:27" ht="16.5" hidden="1" customHeight="1" x14ac:dyDescent="0.25">
      <c r="A38" s="139" t="s">
        <v>620</v>
      </c>
      <c r="B38" s="139" t="s">
        <v>621</v>
      </c>
      <c r="C38" s="139" t="s">
        <v>541</v>
      </c>
      <c r="D38" s="139" t="s">
        <v>622</v>
      </c>
      <c r="E38" s="139" t="s">
        <v>556</v>
      </c>
      <c r="F38" s="140">
        <v>13118061</v>
      </c>
      <c r="G38" s="141">
        <v>0</v>
      </c>
      <c r="H38" s="141">
        <v>0</v>
      </c>
      <c r="I38" s="141">
        <v>0</v>
      </c>
      <c r="J38" s="141">
        <v>0</v>
      </c>
      <c r="K38" s="141">
        <v>0</v>
      </c>
      <c r="L38" s="141">
        <v>0</v>
      </c>
      <c r="M38" s="140">
        <v>13118061</v>
      </c>
      <c r="N38" s="141">
        <v>0</v>
      </c>
      <c r="O38" s="140">
        <v>8305472</v>
      </c>
      <c r="P38" s="140">
        <v>8305472</v>
      </c>
      <c r="Q38" s="141">
        <v>0</v>
      </c>
      <c r="R38" s="140">
        <v>4812589</v>
      </c>
      <c r="S38" s="141">
        <v>0</v>
      </c>
      <c r="T38" s="140">
        <v>8305472</v>
      </c>
      <c r="U38" s="140">
        <v>8305472</v>
      </c>
      <c r="V38" s="140">
        <v>4812589</v>
      </c>
      <c r="W38" s="140">
        <v>8305472</v>
      </c>
      <c r="X38" s="141">
        <v>0</v>
      </c>
      <c r="Y38" s="140">
        <v>8305472</v>
      </c>
      <c r="Z38" s="140">
        <v>8305472</v>
      </c>
      <c r="AA38" s="141">
        <v>0</v>
      </c>
    </row>
    <row r="39" spans="1:27" ht="16.5" hidden="1" customHeight="1" x14ac:dyDescent="0.25">
      <c r="A39" s="139" t="s">
        <v>623</v>
      </c>
      <c r="B39" s="139" t="s">
        <v>624</v>
      </c>
      <c r="C39" s="139" t="s">
        <v>541</v>
      </c>
      <c r="D39" s="139" t="s">
        <v>625</v>
      </c>
      <c r="E39" s="139" t="s">
        <v>556</v>
      </c>
      <c r="F39" s="140">
        <v>39000000</v>
      </c>
      <c r="G39" s="141">
        <v>0</v>
      </c>
      <c r="H39" s="141">
        <v>0</v>
      </c>
      <c r="I39" s="141">
        <v>0</v>
      </c>
      <c r="J39" s="141">
        <v>0</v>
      </c>
      <c r="K39" s="140">
        <v>15000000</v>
      </c>
      <c r="L39" s="141">
        <v>0</v>
      </c>
      <c r="M39" s="140">
        <v>54000000</v>
      </c>
      <c r="N39" s="141">
        <v>0</v>
      </c>
      <c r="O39" s="140">
        <v>28748265.879999999</v>
      </c>
      <c r="P39" s="140">
        <v>28748265.879999999</v>
      </c>
      <c r="Q39" s="141">
        <v>0</v>
      </c>
      <c r="R39" s="140">
        <v>25251734.120000001</v>
      </c>
      <c r="S39" s="141">
        <v>0</v>
      </c>
      <c r="T39" s="140">
        <v>28748265.879999999</v>
      </c>
      <c r="U39" s="140">
        <v>28748265.879999999</v>
      </c>
      <c r="V39" s="140">
        <v>25251734.120000001</v>
      </c>
      <c r="W39" s="140">
        <v>28748265.879999999</v>
      </c>
      <c r="X39" s="141">
        <v>0</v>
      </c>
      <c r="Y39" s="140">
        <v>10615026.130000001</v>
      </c>
      <c r="Z39" s="140">
        <v>10615026.130000001</v>
      </c>
      <c r="AA39" s="140">
        <v>18133239.75</v>
      </c>
    </row>
    <row r="40" spans="1:27" ht="16.5" hidden="1" customHeight="1" x14ac:dyDescent="0.25">
      <c r="A40" s="139" t="s">
        <v>626</v>
      </c>
      <c r="B40" s="139" t="s">
        <v>627</v>
      </c>
      <c r="C40" s="139" t="s">
        <v>541</v>
      </c>
      <c r="D40" s="139" t="s">
        <v>628</v>
      </c>
      <c r="E40" s="139" t="s">
        <v>556</v>
      </c>
      <c r="F40" s="140">
        <v>30000000</v>
      </c>
      <c r="G40" s="141">
        <v>0</v>
      </c>
      <c r="H40" s="141">
        <v>0</v>
      </c>
      <c r="I40" s="141">
        <v>0</v>
      </c>
      <c r="J40" s="141">
        <v>0</v>
      </c>
      <c r="K40" s="141">
        <v>0</v>
      </c>
      <c r="L40" s="141">
        <v>0</v>
      </c>
      <c r="M40" s="140">
        <v>30000000</v>
      </c>
      <c r="N40" s="141">
        <v>0</v>
      </c>
      <c r="O40" s="140">
        <v>24227121</v>
      </c>
      <c r="P40" s="140">
        <v>24227121</v>
      </c>
      <c r="Q40" s="141">
        <v>0</v>
      </c>
      <c r="R40" s="140">
        <v>5772879</v>
      </c>
      <c r="S40" s="141">
        <v>0</v>
      </c>
      <c r="T40" s="140">
        <v>24227121</v>
      </c>
      <c r="U40" s="140">
        <v>24227121</v>
      </c>
      <c r="V40" s="140">
        <v>5772879</v>
      </c>
      <c r="W40" s="140">
        <v>24227121</v>
      </c>
      <c r="X40" s="141">
        <v>0</v>
      </c>
      <c r="Y40" s="140">
        <v>24227121</v>
      </c>
      <c r="Z40" s="140">
        <v>24227121</v>
      </c>
      <c r="AA40" s="141">
        <v>0</v>
      </c>
    </row>
    <row r="41" spans="1:27" ht="16.5" hidden="1" customHeight="1" x14ac:dyDescent="0.25">
      <c r="A41" s="139" t="s">
        <v>539</v>
      </c>
      <c r="B41" s="139" t="s">
        <v>629</v>
      </c>
      <c r="C41" s="139" t="s">
        <v>541</v>
      </c>
      <c r="D41" s="139" t="s">
        <v>630</v>
      </c>
      <c r="E41" s="139" t="s">
        <v>539</v>
      </c>
      <c r="F41" s="140">
        <v>706373250</v>
      </c>
      <c r="G41" s="141">
        <v>0</v>
      </c>
      <c r="H41" s="141">
        <v>0</v>
      </c>
      <c r="I41" s="141">
        <v>0</v>
      </c>
      <c r="J41" s="141">
        <v>0</v>
      </c>
      <c r="K41" s="140">
        <v>36000000</v>
      </c>
      <c r="L41" s="140">
        <v>92943000</v>
      </c>
      <c r="M41" s="140">
        <v>649430250</v>
      </c>
      <c r="N41" s="141">
        <v>0</v>
      </c>
      <c r="O41" s="140">
        <v>570346730</v>
      </c>
      <c r="P41" s="140">
        <v>570346730</v>
      </c>
      <c r="Q41" s="141">
        <v>0</v>
      </c>
      <c r="R41" s="140">
        <v>79083520</v>
      </c>
      <c r="S41" s="141">
        <v>0</v>
      </c>
      <c r="T41" s="140">
        <v>570346730</v>
      </c>
      <c r="U41" s="140">
        <v>570346730</v>
      </c>
      <c r="V41" s="140">
        <v>79083520</v>
      </c>
      <c r="W41" s="140">
        <v>570346730</v>
      </c>
      <c r="X41" s="141">
        <v>0</v>
      </c>
      <c r="Y41" s="140">
        <v>419798151</v>
      </c>
      <c r="Z41" s="140">
        <v>419798151</v>
      </c>
      <c r="AA41" s="140">
        <v>150548579</v>
      </c>
    </row>
    <row r="42" spans="1:27" ht="16.5" hidden="1" customHeight="1" x14ac:dyDescent="0.25">
      <c r="A42" s="139" t="s">
        <v>631</v>
      </c>
      <c r="B42" s="139" t="s">
        <v>632</v>
      </c>
      <c r="C42" s="139" t="s">
        <v>541</v>
      </c>
      <c r="D42" s="139" t="s">
        <v>633</v>
      </c>
      <c r="E42" s="139" t="s">
        <v>556</v>
      </c>
      <c r="F42" s="140">
        <v>2476902</v>
      </c>
      <c r="G42" s="141">
        <v>0</v>
      </c>
      <c r="H42" s="141">
        <v>0</v>
      </c>
      <c r="I42" s="141">
        <v>0</v>
      </c>
      <c r="J42" s="141">
        <v>0</v>
      </c>
      <c r="K42" s="141">
        <v>0</v>
      </c>
      <c r="L42" s="141">
        <v>0</v>
      </c>
      <c r="M42" s="140">
        <v>2476902</v>
      </c>
      <c r="N42" s="141">
        <v>0</v>
      </c>
      <c r="O42" s="140">
        <v>455893</v>
      </c>
      <c r="P42" s="140">
        <v>455893</v>
      </c>
      <c r="Q42" s="141">
        <v>0</v>
      </c>
      <c r="R42" s="140">
        <v>2021009</v>
      </c>
      <c r="S42" s="141">
        <v>0</v>
      </c>
      <c r="T42" s="140">
        <v>455893</v>
      </c>
      <c r="U42" s="140">
        <v>455893</v>
      </c>
      <c r="V42" s="140">
        <v>2021009</v>
      </c>
      <c r="W42" s="140">
        <v>455893</v>
      </c>
      <c r="X42" s="141">
        <v>0</v>
      </c>
      <c r="Y42" s="140">
        <v>455893</v>
      </c>
      <c r="Z42" s="140">
        <v>455893</v>
      </c>
      <c r="AA42" s="141">
        <v>0</v>
      </c>
    </row>
    <row r="43" spans="1:27" ht="16.5" hidden="1" customHeight="1" x14ac:dyDescent="0.25">
      <c r="A43" s="139" t="s">
        <v>634</v>
      </c>
      <c r="B43" s="139" t="s">
        <v>635</v>
      </c>
      <c r="C43" s="139" t="s">
        <v>541</v>
      </c>
      <c r="D43" s="139" t="s">
        <v>636</v>
      </c>
      <c r="E43" s="139" t="s">
        <v>556</v>
      </c>
      <c r="F43" s="140">
        <v>357179873</v>
      </c>
      <c r="G43" s="141">
        <v>0</v>
      </c>
      <c r="H43" s="141">
        <v>0</v>
      </c>
      <c r="I43" s="141">
        <v>0</v>
      </c>
      <c r="J43" s="141">
        <v>0</v>
      </c>
      <c r="K43" s="141">
        <v>0</v>
      </c>
      <c r="L43" s="140">
        <v>10000000</v>
      </c>
      <c r="M43" s="140">
        <v>347179873</v>
      </c>
      <c r="N43" s="141">
        <v>0</v>
      </c>
      <c r="O43" s="140">
        <v>315485183</v>
      </c>
      <c r="P43" s="140">
        <v>315485183</v>
      </c>
      <c r="Q43" s="141">
        <v>0</v>
      </c>
      <c r="R43" s="140">
        <v>31694690</v>
      </c>
      <c r="S43" s="141">
        <v>0</v>
      </c>
      <c r="T43" s="140">
        <v>315485183</v>
      </c>
      <c r="U43" s="140">
        <v>315485183</v>
      </c>
      <c r="V43" s="140">
        <v>31694690</v>
      </c>
      <c r="W43" s="140">
        <v>315485183</v>
      </c>
      <c r="X43" s="141">
        <v>0</v>
      </c>
      <c r="Y43" s="140">
        <v>179547081</v>
      </c>
      <c r="Z43" s="140">
        <v>179547081</v>
      </c>
      <c r="AA43" s="140">
        <v>135938102</v>
      </c>
    </row>
    <row r="44" spans="1:27" ht="16.5" hidden="1" customHeight="1" x14ac:dyDescent="0.25">
      <c r="A44" s="139" t="s">
        <v>637</v>
      </c>
      <c r="B44" s="139" t="s">
        <v>638</v>
      </c>
      <c r="C44" s="139" t="s">
        <v>541</v>
      </c>
      <c r="D44" s="139" t="s">
        <v>639</v>
      </c>
      <c r="E44" s="139" t="s">
        <v>556</v>
      </c>
      <c r="F44" s="140">
        <v>74316475</v>
      </c>
      <c r="G44" s="141">
        <v>0</v>
      </c>
      <c r="H44" s="141">
        <v>0</v>
      </c>
      <c r="I44" s="141">
        <v>0</v>
      </c>
      <c r="J44" s="141">
        <v>0</v>
      </c>
      <c r="K44" s="140">
        <v>26000000</v>
      </c>
      <c r="L44" s="141">
        <v>0</v>
      </c>
      <c r="M44" s="140">
        <v>100316475</v>
      </c>
      <c r="N44" s="141">
        <v>0</v>
      </c>
      <c r="O44" s="140">
        <v>69310472</v>
      </c>
      <c r="P44" s="140">
        <v>69310472</v>
      </c>
      <c r="Q44" s="141">
        <v>0</v>
      </c>
      <c r="R44" s="140">
        <v>31006003</v>
      </c>
      <c r="S44" s="141">
        <v>0</v>
      </c>
      <c r="T44" s="140">
        <v>69310472</v>
      </c>
      <c r="U44" s="140">
        <v>69310472</v>
      </c>
      <c r="V44" s="140">
        <v>31006003</v>
      </c>
      <c r="W44" s="140">
        <v>69310472</v>
      </c>
      <c r="X44" s="141">
        <v>0</v>
      </c>
      <c r="Y44" s="140">
        <v>66699995</v>
      </c>
      <c r="Z44" s="140">
        <v>66699995</v>
      </c>
      <c r="AA44" s="140">
        <v>2610477</v>
      </c>
    </row>
    <row r="45" spans="1:27" ht="16.5" hidden="1" customHeight="1" x14ac:dyDescent="0.25">
      <c r="A45" s="139" t="s">
        <v>640</v>
      </c>
      <c r="B45" s="139" t="s">
        <v>641</v>
      </c>
      <c r="C45" s="139" t="s">
        <v>541</v>
      </c>
      <c r="D45" s="139" t="s">
        <v>642</v>
      </c>
      <c r="E45" s="139" t="s">
        <v>556</v>
      </c>
      <c r="F45" s="140">
        <v>272400000</v>
      </c>
      <c r="G45" s="141">
        <v>0</v>
      </c>
      <c r="H45" s="141">
        <v>0</v>
      </c>
      <c r="I45" s="141">
        <v>0</v>
      </c>
      <c r="J45" s="141">
        <v>0</v>
      </c>
      <c r="K45" s="141">
        <v>0</v>
      </c>
      <c r="L45" s="140">
        <v>82943000</v>
      </c>
      <c r="M45" s="140">
        <v>189457000</v>
      </c>
      <c r="N45" s="141">
        <v>0</v>
      </c>
      <c r="O45" s="140">
        <v>178838000</v>
      </c>
      <c r="P45" s="140">
        <v>178838000</v>
      </c>
      <c r="Q45" s="141">
        <v>0</v>
      </c>
      <c r="R45" s="140">
        <v>10619000</v>
      </c>
      <c r="S45" s="141">
        <v>0</v>
      </c>
      <c r="T45" s="140">
        <v>178838000</v>
      </c>
      <c r="U45" s="140">
        <v>178838000</v>
      </c>
      <c r="V45" s="140">
        <v>10619000</v>
      </c>
      <c r="W45" s="140">
        <v>178838000</v>
      </c>
      <c r="X45" s="141">
        <v>0</v>
      </c>
      <c r="Y45" s="140">
        <v>166838000</v>
      </c>
      <c r="Z45" s="140">
        <v>166838000</v>
      </c>
      <c r="AA45" s="140">
        <v>12000000</v>
      </c>
    </row>
    <row r="46" spans="1:27" ht="16.5" hidden="1" customHeight="1" x14ac:dyDescent="0.25">
      <c r="A46" s="139" t="s">
        <v>539</v>
      </c>
      <c r="B46" s="139" t="s">
        <v>643</v>
      </c>
      <c r="C46" s="139" t="s">
        <v>541</v>
      </c>
      <c r="D46" s="139" t="s">
        <v>644</v>
      </c>
      <c r="E46" s="139" t="s">
        <v>539</v>
      </c>
      <c r="F46" s="140">
        <v>139809600</v>
      </c>
      <c r="G46" s="141">
        <v>0</v>
      </c>
      <c r="H46" s="141">
        <v>0</v>
      </c>
      <c r="I46" s="141">
        <v>0</v>
      </c>
      <c r="J46" s="141">
        <v>0</v>
      </c>
      <c r="K46" s="141">
        <v>0</v>
      </c>
      <c r="L46" s="141">
        <v>0</v>
      </c>
      <c r="M46" s="140">
        <v>139809600</v>
      </c>
      <c r="N46" s="141">
        <v>0</v>
      </c>
      <c r="O46" s="140">
        <v>26396149</v>
      </c>
      <c r="P46" s="140">
        <v>26396149</v>
      </c>
      <c r="Q46" s="141">
        <v>0</v>
      </c>
      <c r="R46" s="140">
        <v>113413451</v>
      </c>
      <c r="S46" s="141">
        <v>0</v>
      </c>
      <c r="T46" s="140">
        <v>26396149</v>
      </c>
      <c r="U46" s="140">
        <v>26396149</v>
      </c>
      <c r="V46" s="140">
        <v>113413451</v>
      </c>
      <c r="W46" s="140">
        <v>26396149</v>
      </c>
      <c r="X46" s="141">
        <v>0</v>
      </c>
      <c r="Y46" s="140">
        <v>26396149</v>
      </c>
      <c r="Z46" s="140">
        <v>26396149</v>
      </c>
      <c r="AA46" s="141">
        <v>0</v>
      </c>
    </row>
    <row r="47" spans="1:27" ht="16.5" customHeight="1" x14ac:dyDescent="0.25">
      <c r="A47" s="139" t="s">
        <v>539</v>
      </c>
      <c r="B47" s="139" t="s">
        <v>645</v>
      </c>
      <c r="C47" s="139" t="s">
        <v>541</v>
      </c>
      <c r="D47" s="139" t="s">
        <v>646</v>
      </c>
      <c r="E47" s="139" t="s">
        <v>539</v>
      </c>
      <c r="F47" s="140">
        <v>139809600</v>
      </c>
      <c r="G47" s="141">
        <v>0</v>
      </c>
      <c r="H47" s="141">
        <v>0</v>
      </c>
      <c r="I47" s="141">
        <v>0</v>
      </c>
      <c r="J47" s="141">
        <v>0</v>
      </c>
      <c r="K47" s="141">
        <v>0</v>
      </c>
      <c r="L47" s="141">
        <v>0</v>
      </c>
      <c r="M47" s="140">
        <v>139809600</v>
      </c>
      <c r="N47" s="141">
        <v>0</v>
      </c>
      <c r="O47" s="140">
        <v>26396149</v>
      </c>
      <c r="P47" s="140">
        <v>26396149</v>
      </c>
      <c r="Q47" s="141">
        <v>0</v>
      </c>
      <c r="R47" s="140">
        <v>113413451</v>
      </c>
      <c r="S47" s="141">
        <v>0</v>
      </c>
      <c r="T47" s="140">
        <v>26396149</v>
      </c>
      <c r="U47" s="140">
        <v>26396149</v>
      </c>
      <c r="V47" s="140">
        <v>113413451</v>
      </c>
      <c r="W47" s="140">
        <v>26396149</v>
      </c>
      <c r="X47" s="141">
        <v>0</v>
      </c>
      <c r="Y47" s="140">
        <v>26396149</v>
      </c>
      <c r="Z47" s="140">
        <v>26396149</v>
      </c>
      <c r="AA47" s="141">
        <v>0</v>
      </c>
    </row>
    <row r="48" spans="1:27" ht="16.5" hidden="1" customHeight="1" x14ac:dyDescent="0.25">
      <c r="A48" s="139" t="s">
        <v>539</v>
      </c>
      <c r="B48" s="139" t="s">
        <v>647</v>
      </c>
      <c r="C48" s="139" t="s">
        <v>541</v>
      </c>
      <c r="D48" s="139" t="s">
        <v>648</v>
      </c>
      <c r="E48" s="139" t="s">
        <v>539</v>
      </c>
      <c r="F48" s="140">
        <v>139809600</v>
      </c>
      <c r="G48" s="141">
        <v>0</v>
      </c>
      <c r="H48" s="141">
        <v>0</v>
      </c>
      <c r="I48" s="141">
        <v>0</v>
      </c>
      <c r="J48" s="141">
        <v>0</v>
      </c>
      <c r="K48" s="141">
        <v>0</v>
      </c>
      <c r="L48" s="141">
        <v>0</v>
      </c>
      <c r="M48" s="140">
        <v>139809600</v>
      </c>
      <c r="N48" s="141">
        <v>0</v>
      </c>
      <c r="O48" s="140">
        <v>26396149</v>
      </c>
      <c r="P48" s="140">
        <v>26396149</v>
      </c>
      <c r="Q48" s="141">
        <v>0</v>
      </c>
      <c r="R48" s="140">
        <v>113413451</v>
      </c>
      <c r="S48" s="141">
        <v>0</v>
      </c>
      <c r="T48" s="140">
        <v>26396149</v>
      </c>
      <c r="U48" s="140">
        <v>26396149</v>
      </c>
      <c r="V48" s="140">
        <v>113413451</v>
      </c>
      <c r="W48" s="140">
        <v>26396149</v>
      </c>
      <c r="X48" s="141">
        <v>0</v>
      </c>
      <c r="Y48" s="140">
        <v>26396149</v>
      </c>
      <c r="Z48" s="140">
        <v>26396149</v>
      </c>
      <c r="AA48" s="141">
        <v>0</v>
      </c>
    </row>
    <row r="49" spans="1:27" ht="16.5" hidden="1" customHeight="1" x14ac:dyDescent="0.25">
      <c r="A49" s="139" t="s">
        <v>649</v>
      </c>
      <c r="B49" s="139" t="s">
        <v>650</v>
      </c>
      <c r="C49" s="139" t="s">
        <v>541</v>
      </c>
      <c r="D49" s="139" t="s">
        <v>651</v>
      </c>
      <c r="E49" s="139" t="s">
        <v>556</v>
      </c>
      <c r="F49" s="140">
        <v>119809609</v>
      </c>
      <c r="G49" s="141">
        <v>0</v>
      </c>
      <c r="H49" s="141">
        <v>0</v>
      </c>
      <c r="I49" s="141">
        <v>0</v>
      </c>
      <c r="J49" s="141">
        <v>0</v>
      </c>
      <c r="K49" s="141">
        <v>0</v>
      </c>
      <c r="L49" s="141">
        <v>0</v>
      </c>
      <c r="M49" s="140">
        <v>119809609</v>
      </c>
      <c r="N49" s="141">
        <v>0</v>
      </c>
      <c r="O49" s="140">
        <v>26396149</v>
      </c>
      <c r="P49" s="140">
        <v>26396149</v>
      </c>
      <c r="Q49" s="141">
        <v>0</v>
      </c>
      <c r="R49" s="140">
        <v>93413460</v>
      </c>
      <c r="S49" s="141">
        <v>0</v>
      </c>
      <c r="T49" s="140">
        <v>26396149</v>
      </c>
      <c r="U49" s="140">
        <v>26396149</v>
      </c>
      <c r="V49" s="140">
        <v>93413460</v>
      </c>
      <c r="W49" s="140">
        <v>26396149</v>
      </c>
      <c r="X49" s="141">
        <v>0</v>
      </c>
      <c r="Y49" s="140">
        <v>26396149</v>
      </c>
      <c r="Z49" s="140">
        <v>26396149</v>
      </c>
      <c r="AA49" s="141">
        <v>0</v>
      </c>
    </row>
    <row r="50" spans="1:27" ht="16.5" hidden="1" customHeight="1" x14ac:dyDescent="0.25">
      <c r="A50" s="139" t="s">
        <v>652</v>
      </c>
      <c r="B50" s="139" t="s">
        <v>650</v>
      </c>
      <c r="C50" s="139" t="s">
        <v>541</v>
      </c>
      <c r="D50" s="139" t="s">
        <v>651</v>
      </c>
      <c r="E50" s="139" t="s">
        <v>610</v>
      </c>
      <c r="F50" s="140">
        <v>19999991</v>
      </c>
      <c r="G50" s="141">
        <v>0</v>
      </c>
      <c r="H50" s="141">
        <v>0</v>
      </c>
      <c r="I50" s="141">
        <v>0</v>
      </c>
      <c r="J50" s="141">
        <v>0</v>
      </c>
      <c r="K50" s="141">
        <v>0</v>
      </c>
      <c r="L50" s="141">
        <v>0</v>
      </c>
      <c r="M50" s="140">
        <v>19999991</v>
      </c>
      <c r="N50" s="141">
        <v>0</v>
      </c>
      <c r="O50" s="141">
        <v>0</v>
      </c>
      <c r="P50" s="141">
        <v>0</v>
      </c>
      <c r="Q50" s="141">
        <v>0</v>
      </c>
      <c r="R50" s="140">
        <v>19999991</v>
      </c>
      <c r="S50" s="141">
        <v>0</v>
      </c>
      <c r="T50" s="141">
        <v>0</v>
      </c>
      <c r="U50" s="141">
        <v>0</v>
      </c>
      <c r="V50" s="140">
        <v>19999991</v>
      </c>
      <c r="W50" s="141">
        <v>0</v>
      </c>
      <c r="X50" s="141">
        <v>0</v>
      </c>
      <c r="Y50" s="141">
        <v>0</v>
      </c>
      <c r="Z50" s="141">
        <v>0</v>
      </c>
      <c r="AA50" s="141">
        <v>0</v>
      </c>
    </row>
    <row r="51" spans="1:27" ht="16.5" hidden="1" customHeight="1" x14ac:dyDescent="0.25">
      <c r="A51" s="139" t="s">
        <v>539</v>
      </c>
      <c r="B51" s="139" t="s">
        <v>653</v>
      </c>
      <c r="C51" s="139" t="s">
        <v>541</v>
      </c>
      <c r="D51" s="139" t="s">
        <v>654</v>
      </c>
      <c r="E51" s="139" t="s">
        <v>539</v>
      </c>
      <c r="F51" s="140">
        <v>16000000</v>
      </c>
      <c r="G51" s="141">
        <v>0</v>
      </c>
      <c r="H51" s="141">
        <v>0</v>
      </c>
      <c r="I51" s="141">
        <v>0</v>
      </c>
      <c r="J51" s="141">
        <v>0</v>
      </c>
      <c r="K51" s="140">
        <v>5937000</v>
      </c>
      <c r="L51" s="141">
        <v>0</v>
      </c>
      <c r="M51" s="140">
        <v>21937000</v>
      </c>
      <c r="N51" s="141">
        <v>0</v>
      </c>
      <c r="O51" s="140">
        <v>21936396</v>
      </c>
      <c r="P51" s="140">
        <v>21936396</v>
      </c>
      <c r="Q51" s="141">
        <v>0</v>
      </c>
      <c r="R51" s="141">
        <v>604</v>
      </c>
      <c r="S51" s="141">
        <v>0</v>
      </c>
      <c r="T51" s="140">
        <v>21936396</v>
      </c>
      <c r="U51" s="140">
        <v>21936396</v>
      </c>
      <c r="V51" s="141">
        <v>604</v>
      </c>
      <c r="W51" s="140">
        <v>21936396</v>
      </c>
      <c r="X51" s="141">
        <v>0</v>
      </c>
      <c r="Y51" s="140">
        <v>21936396</v>
      </c>
      <c r="Z51" s="140">
        <v>21936396</v>
      </c>
      <c r="AA51" s="141">
        <v>0</v>
      </c>
    </row>
    <row r="52" spans="1:27" ht="16.5" hidden="1" customHeight="1" x14ac:dyDescent="0.25">
      <c r="A52" s="139" t="s">
        <v>539</v>
      </c>
      <c r="B52" s="139" t="s">
        <v>655</v>
      </c>
      <c r="C52" s="139" t="s">
        <v>541</v>
      </c>
      <c r="D52" s="139" t="s">
        <v>656</v>
      </c>
      <c r="E52" s="139" t="s">
        <v>539</v>
      </c>
      <c r="F52" s="140">
        <v>16000000</v>
      </c>
      <c r="G52" s="141">
        <v>0</v>
      </c>
      <c r="H52" s="141">
        <v>0</v>
      </c>
      <c r="I52" s="141">
        <v>0</v>
      </c>
      <c r="J52" s="141">
        <v>0</v>
      </c>
      <c r="K52" s="140">
        <v>5937000</v>
      </c>
      <c r="L52" s="141">
        <v>0</v>
      </c>
      <c r="M52" s="140">
        <v>21937000</v>
      </c>
      <c r="N52" s="141">
        <v>0</v>
      </c>
      <c r="O52" s="140">
        <v>21936396</v>
      </c>
      <c r="P52" s="140">
        <v>21936396</v>
      </c>
      <c r="Q52" s="141">
        <v>0</v>
      </c>
      <c r="R52" s="141">
        <v>604</v>
      </c>
      <c r="S52" s="141">
        <v>0</v>
      </c>
      <c r="T52" s="140">
        <v>21936396</v>
      </c>
      <c r="U52" s="140">
        <v>21936396</v>
      </c>
      <c r="V52" s="141">
        <v>604</v>
      </c>
      <c r="W52" s="140">
        <v>21936396</v>
      </c>
      <c r="X52" s="141">
        <v>0</v>
      </c>
      <c r="Y52" s="140">
        <v>21936396</v>
      </c>
      <c r="Z52" s="140">
        <v>21936396</v>
      </c>
      <c r="AA52" s="141">
        <v>0</v>
      </c>
    </row>
    <row r="53" spans="1:27" ht="16.5" customHeight="1" x14ac:dyDescent="0.25">
      <c r="A53" s="139" t="s">
        <v>657</v>
      </c>
      <c r="B53" s="139" t="s">
        <v>658</v>
      </c>
      <c r="C53" s="139" t="s">
        <v>541</v>
      </c>
      <c r="D53" s="139" t="s">
        <v>659</v>
      </c>
      <c r="E53" s="139" t="s">
        <v>556</v>
      </c>
      <c r="F53" s="140">
        <v>16000000</v>
      </c>
      <c r="G53" s="141">
        <v>0</v>
      </c>
      <c r="H53" s="141">
        <v>0</v>
      </c>
      <c r="I53" s="141">
        <v>0</v>
      </c>
      <c r="J53" s="141">
        <v>0</v>
      </c>
      <c r="K53" s="140">
        <v>5937000</v>
      </c>
      <c r="L53" s="141">
        <v>0</v>
      </c>
      <c r="M53" s="140">
        <v>21937000</v>
      </c>
      <c r="N53" s="141">
        <v>0</v>
      </c>
      <c r="O53" s="140">
        <v>21936396</v>
      </c>
      <c r="P53" s="140">
        <v>21936396</v>
      </c>
      <c r="Q53" s="141">
        <v>0</v>
      </c>
      <c r="R53" s="141">
        <v>604</v>
      </c>
      <c r="S53" s="141">
        <v>0</v>
      </c>
      <c r="T53" s="140">
        <v>21936396</v>
      </c>
      <c r="U53" s="140">
        <v>21936396</v>
      </c>
      <c r="V53" s="141">
        <v>604</v>
      </c>
      <c r="W53" s="140">
        <v>21936396</v>
      </c>
      <c r="X53" s="141">
        <v>0</v>
      </c>
      <c r="Y53" s="140">
        <v>21936396</v>
      </c>
      <c r="Z53" s="140">
        <v>21936396</v>
      </c>
      <c r="AA53" s="141">
        <v>0</v>
      </c>
    </row>
    <row r="54" spans="1:27" s="134" customFormat="1" ht="16.5" customHeight="1" x14ac:dyDescent="0.25">
      <c r="A54" s="131" t="s">
        <v>539</v>
      </c>
      <c r="B54" s="131" t="s">
        <v>660</v>
      </c>
      <c r="C54" s="131" t="s">
        <v>541</v>
      </c>
      <c r="D54" s="131" t="s">
        <v>661</v>
      </c>
      <c r="E54" s="131" t="s">
        <v>539</v>
      </c>
      <c r="F54" s="132">
        <v>2707137572</v>
      </c>
      <c r="G54" s="132">
        <v>6707326622.8199997</v>
      </c>
      <c r="H54" s="133">
        <v>0</v>
      </c>
      <c r="I54" s="133">
        <v>0</v>
      </c>
      <c r="J54" s="133">
        <v>0</v>
      </c>
      <c r="K54" s="132">
        <v>694298095</v>
      </c>
      <c r="L54" s="132">
        <v>694298095</v>
      </c>
      <c r="M54" s="132">
        <v>9414464194.8199997</v>
      </c>
      <c r="N54" s="133">
        <v>0</v>
      </c>
      <c r="O54" s="132">
        <v>6113394907.3299999</v>
      </c>
      <c r="P54" s="132">
        <v>6113394907.3299999</v>
      </c>
      <c r="Q54" s="133">
        <v>0</v>
      </c>
      <c r="R54" s="132">
        <v>3301069287.4899998</v>
      </c>
      <c r="S54" s="133">
        <v>0</v>
      </c>
      <c r="T54" s="132">
        <v>6113340707.3299999</v>
      </c>
      <c r="U54" s="132">
        <v>6113340707.3299999</v>
      </c>
      <c r="V54" s="132">
        <v>3301123487.4899998</v>
      </c>
      <c r="W54" s="132">
        <v>6113340707.3299999</v>
      </c>
      <c r="X54" s="133">
        <v>0</v>
      </c>
      <c r="Y54" s="132">
        <v>5974500540.3299999</v>
      </c>
      <c r="Z54" s="132">
        <v>5974500540.3299999</v>
      </c>
      <c r="AA54" s="132">
        <v>138840167</v>
      </c>
    </row>
    <row r="55" spans="1:27" ht="16.5" hidden="1" customHeight="1" x14ac:dyDescent="0.25">
      <c r="A55" s="139" t="s">
        <v>539</v>
      </c>
      <c r="B55" s="139" t="s">
        <v>662</v>
      </c>
      <c r="C55" s="139" t="s">
        <v>541</v>
      </c>
      <c r="D55" s="139" t="s">
        <v>663</v>
      </c>
      <c r="E55" s="139" t="s">
        <v>539</v>
      </c>
      <c r="F55" s="140">
        <v>2707137572</v>
      </c>
      <c r="G55" s="140">
        <v>5517326622.8199997</v>
      </c>
      <c r="H55" s="141">
        <v>0</v>
      </c>
      <c r="I55" s="141">
        <v>0</v>
      </c>
      <c r="J55" s="141">
        <v>0</v>
      </c>
      <c r="K55" s="140">
        <v>584298095</v>
      </c>
      <c r="L55" s="140">
        <v>694298095</v>
      </c>
      <c r="M55" s="140">
        <v>8114464194.8199997</v>
      </c>
      <c r="N55" s="141">
        <v>0</v>
      </c>
      <c r="O55" s="140">
        <v>5063394907.3299999</v>
      </c>
      <c r="P55" s="140">
        <v>5063394907.3299999</v>
      </c>
      <c r="Q55" s="141">
        <v>0</v>
      </c>
      <c r="R55" s="140">
        <v>3051069287.4899998</v>
      </c>
      <c r="S55" s="141">
        <v>0</v>
      </c>
      <c r="T55" s="140">
        <v>5063340707.3299999</v>
      </c>
      <c r="U55" s="140">
        <v>5063340707.3299999</v>
      </c>
      <c r="V55" s="140">
        <v>3051123487.4899998</v>
      </c>
      <c r="W55" s="140">
        <v>5063340707.3299999</v>
      </c>
      <c r="X55" s="141">
        <v>0</v>
      </c>
      <c r="Y55" s="140">
        <v>4924500540.3299999</v>
      </c>
      <c r="Z55" s="140">
        <v>4924500540.3299999</v>
      </c>
      <c r="AA55" s="140">
        <v>138840167</v>
      </c>
    </row>
    <row r="56" spans="1:27" ht="16.5" hidden="1" customHeight="1" x14ac:dyDescent="0.25">
      <c r="A56" s="139" t="s">
        <v>539</v>
      </c>
      <c r="B56" s="139" t="s">
        <v>664</v>
      </c>
      <c r="C56" s="139" t="s">
        <v>541</v>
      </c>
      <c r="D56" s="139" t="s">
        <v>665</v>
      </c>
      <c r="E56" s="139" t="s">
        <v>539</v>
      </c>
      <c r="F56" s="141">
        <v>0</v>
      </c>
      <c r="G56" s="140">
        <v>220300000</v>
      </c>
      <c r="H56" s="141">
        <v>0</v>
      </c>
      <c r="I56" s="141">
        <v>0</v>
      </c>
      <c r="J56" s="141">
        <v>0</v>
      </c>
      <c r="K56" s="141">
        <v>0</v>
      </c>
      <c r="L56" s="141">
        <v>0</v>
      </c>
      <c r="M56" s="140">
        <v>220300000</v>
      </c>
      <c r="N56" s="141">
        <v>0</v>
      </c>
      <c r="O56" s="140">
        <v>157579764</v>
      </c>
      <c r="P56" s="140">
        <v>157579764</v>
      </c>
      <c r="Q56" s="141">
        <v>0</v>
      </c>
      <c r="R56" s="140">
        <v>62720236</v>
      </c>
      <c r="S56" s="141">
        <v>0</v>
      </c>
      <c r="T56" s="140">
        <v>157579764</v>
      </c>
      <c r="U56" s="140">
        <v>157579764</v>
      </c>
      <c r="V56" s="140">
        <v>62720236</v>
      </c>
      <c r="W56" s="140">
        <v>157579764</v>
      </c>
      <c r="X56" s="141">
        <v>0</v>
      </c>
      <c r="Y56" s="140">
        <v>157579764</v>
      </c>
      <c r="Z56" s="140">
        <v>157579764</v>
      </c>
      <c r="AA56" s="141">
        <v>0</v>
      </c>
    </row>
    <row r="57" spans="1:27" ht="16.5" hidden="1" customHeight="1" x14ac:dyDescent="0.25">
      <c r="A57" s="139" t="s">
        <v>539</v>
      </c>
      <c r="B57" s="139" t="s">
        <v>666</v>
      </c>
      <c r="C57" s="139" t="s">
        <v>541</v>
      </c>
      <c r="D57" s="139" t="s">
        <v>667</v>
      </c>
      <c r="E57" s="139" t="s">
        <v>539</v>
      </c>
      <c r="F57" s="141">
        <v>0</v>
      </c>
      <c r="G57" s="140">
        <v>220300000</v>
      </c>
      <c r="H57" s="141">
        <v>0</v>
      </c>
      <c r="I57" s="141">
        <v>0</v>
      </c>
      <c r="J57" s="141">
        <v>0</v>
      </c>
      <c r="K57" s="141">
        <v>0</v>
      </c>
      <c r="L57" s="141">
        <v>0</v>
      </c>
      <c r="M57" s="140">
        <v>220300000</v>
      </c>
      <c r="N57" s="141">
        <v>0</v>
      </c>
      <c r="O57" s="140">
        <v>157579764</v>
      </c>
      <c r="P57" s="140">
        <v>157579764</v>
      </c>
      <c r="Q57" s="141">
        <v>0</v>
      </c>
      <c r="R57" s="140">
        <v>62720236</v>
      </c>
      <c r="S57" s="141">
        <v>0</v>
      </c>
      <c r="T57" s="140">
        <v>157579764</v>
      </c>
      <c r="U57" s="140">
        <v>157579764</v>
      </c>
      <c r="V57" s="140">
        <v>62720236</v>
      </c>
      <c r="W57" s="140">
        <v>157579764</v>
      </c>
      <c r="X57" s="141">
        <v>0</v>
      </c>
      <c r="Y57" s="140">
        <v>157579764</v>
      </c>
      <c r="Z57" s="140">
        <v>157579764</v>
      </c>
      <c r="AA57" s="141">
        <v>0</v>
      </c>
    </row>
    <row r="58" spans="1:27" s="145" customFormat="1" ht="29.25" customHeight="1" x14ac:dyDescent="0.25">
      <c r="A58" s="142" t="s">
        <v>668</v>
      </c>
      <c r="B58" s="142" t="s">
        <v>669</v>
      </c>
      <c r="C58" s="142" t="s">
        <v>541</v>
      </c>
      <c r="D58" s="142" t="s">
        <v>670</v>
      </c>
      <c r="E58" s="142" t="s">
        <v>671</v>
      </c>
      <c r="F58" s="143">
        <v>0</v>
      </c>
      <c r="G58" s="144">
        <v>150000000</v>
      </c>
      <c r="H58" s="143">
        <v>0</v>
      </c>
      <c r="I58" s="143">
        <v>0</v>
      </c>
      <c r="J58" s="143">
        <v>0</v>
      </c>
      <c r="K58" s="143">
        <v>0</v>
      </c>
      <c r="L58" s="143">
        <v>0</v>
      </c>
      <c r="M58" s="144">
        <v>150000000</v>
      </c>
      <c r="N58" s="143">
        <v>0</v>
      </c>
      <c r="O58" s="144">
        <v>149306164</v>
      </c>
      <c r="P58" s="144">
        <v>149306164</v>
      </c>
      <c r="Q58" s="143">
        <v>0</v>
      </c>
      <c r="R58" s="144">
        <v>693836</v>
      </c>
      <c r="S58" s="143">
        <v>0</v>
      </c>
      <c r="T58" s="144">
        <v>149306164</v>
      </c>
      <c r="U58" s="144">
        <v>149306164</v>
      </c>
      <c r="V58" s="144">
        <v>693836</v>
      </c>
      <c r="W58" s="144">
        <v>149306164</v>
      </c>
      <c r="X58" s="143">
        <v>0</v>
      </c>
      <c r="Y58" s="144">
        <v>149306164</v>
      </c>
      <c r="Z58" s="144">
        <v>149306164</v>
      </c>
      <c r="AA58" s="143">
        <v>0</v>
      </c>
    </row>
    <row r="59" spans="1:27" s="149" customFormat="1" ht="26.25" customHeight="1" x14ac:dyDescent="0.25">
      <c r="A59" s="146" t="s">
        <v>672</v>
      </c>
      <c r="B59" s="146" t="s">
        <v>673</v>
      </c>
      <c r="C59" s="146" t="s">
        <v>541</v>
      </c>
      <c r="D59" s="146" t="s">
        <v>674</v>
      </c>
      <c r="E59" s="146" t="s">
        <v>671</v>
      </c>
      <c r="F59" s="147">
        <v>0</v>
      </c>
      <c r="G59" s="148">
        <v>70300000</v>
      </c>
      <c r="H59" s="147">
        <v>0</v>
      </c>
      <c r="I59" s="147">
        <v>0</v>
      </c>
      <c r="J59" s="147">
        <v>0</v>
      </c>
      <c r="K59" s="147">
        <v>0</v>
      </c>
      <c r="L59" s="147">
        <v>0</v>
      </c>
      <c r="M59" s="148">
        <v>70300000</v>
      </c>
      <c r="N59" s="147">
        <v>0</v>
      </c>
      <c r="O59" s="148">
        <v>8273600</v>
      </c>
      <c r="P59" s="148">
        <v>8273600</v>
      </c>
      <c r="Q59" s="147">
        <v>0</v>
      </c>
      <c r="R59" s="148">
        <v>62026400</v>
      </c>
      <c r="S59" s="147">
        <v>0</v>
      </c>
      <c r="T59" s="148">
        <v>8273600</v>
      </c>
      <c r="U59" s="148">
        <v>8273600</v>
      </c>
      <c r="V59" s="148">
        <v>62026400</v>
      </c>
      <c r="W59" s="148">
        <v>8273600</v>
      </c>
      <c r="X59" s="147">
        <v>0</v>
      </c>
      <c r="Y59" s="148">
        <v>8273600</v>
      </c>
      <c r="Z59" s="148">
        <v>8273600</v>
      </c>
      <c r="AA59" s="147">
        <v>0</v>
      </c>
    </row>
    <row r="60" spans="1:27" ht="16.5" hidden="1" customHeight="1" x14ac:dyDescent="0.25">
      <c r="A60" s="139" t="s">
        <v>539</v>
      </c>
      <c r="B60" s="139" t="s">
        <v>675</v>
      </c>
      <c r="C60" s="139" t="s">
        <v>541</v>
      </c>
      <c r="D60" s="139" t="s">
        <v>630</v>
      </c>
      <c r="E60" s="139" t="s">
        <v>539</v>
      </c>
      <c r="F60" s="140">
        <v>2707137572</v>
      </c>
      <c r="G60" s="140">
        <v>5297026622.8199997</v>
      </c>
      <c r="H60" s="141">
        <v>0</v>
      </c>
      <c r="I60" s="141">
        <v>0</v>
      </c>
      <c r="J60" s="141">
        <v>0</v>
      </c>
      <c r="K60" s="140">
        <v>584298095</v>
      </c>
      <c r="L60" s="140">
        <v>694298095</v>
      </c>
      <c r="M60" s="140">
        <v>7894164194.8199997</v>
      </c>
      <c r="N60" s="141">
        <v>0</v>
      </c>
      <c r="O60" s="140">
        <v>4905815143.3299999</v>
      </c>
      <c r="P60" s="140">
        <v>4905815143.3299999</v>
      </c>
      <c r="Q60" s="141">
        <v>0</v>
      </c>
      <c r="R60" s="140">
        <v>2988349051.4899998</v>
      </c>
      <c r="S60" s="141">
        <v>0</v>
      </c>
      <c r="T60" s="140">
        <v>4905760943.3299999</v>
      </c>
      <c r="U60" s="140">
        <v>4905760943.3299999</v>
      </c>
      <c r="V60" s="140">
        <v>2988403251.4899998</v>
      </c>
      <c r="W60" s="140">
        <v>4905760943.3299999</v>
      </c>
      <c r="X60" s="141">
        <v>0</v>
      </c>
      <c r="Y60" s="140">
        <v>4766920776.3299999</v>
      </c>
      <c r="Z60" s="140">
        <v>4766920776.3299999</v>
      </c>
      <c r="AA60" s="140">
        <v>138840167</v>
      </c>
    </row>
    <row r="61" spans="1:27" ht="33.75" hidden="1" customHeight="1" x14ac:dyDescent="0.25">
      <c r="A61" s="139" t="s">
        <v>539</v>
      </c>
      <c r="B61" s="139" t="s">
        <v>676</v>
      </c>
      <c r="C61" s="139" t="s">
        <v>541</v>
      </c>
      <c r="D61" s="139" t="s">
        <v>633</v>
      </c>
      <c r="E61" s="139" t="s">
        <v>539</v>
      </c>
      <c r="F61" s="140">
        <v>62800427</v>
      </c>
      <c r="G61" s="140">
        <v>325000000</v>
      </c>
      <c r="H61" s="141">
        <v>0</v>
      </c>
      <c r="I61" s="141">
        <v>0</v>
      </c>
      <c r="J61" s="141">
        <v>0</v>
      </c>
      <c r="K61" s="141">
        <v>0</v>
      </c>
      <c r="L61" s="140">
        <v>23000000</v>
      </c>
      <c r="M61" s="140">
        <v>364800427</v>
      </c>
      <c r="N61" s="141">
        <v>0</v>
      </c>
      <c r="O61" s="140">
        <v>123532410</v>
      </c>
      <c r="P61" s="140">
        <v>123532410</v>
      </c>
      <c r="Q61" s="141">
        <v>0</v>
      </c>
      <c r="R61" s="140">
        <v>241268017</v>
      </c>
      <c r="S61" s="141">
        <v>0</v>
      </c>
      <c r="T61" s="140">
        <v>123478210</v>
      </c>
      <c r="U61" s="140">
        <v>123478210</v>
      </c>
      <c r="V61" s="140">
        <v>241322217</v>
      </c>
      <c r="W61" s="140">
        <v>123478210</v>
      </c>
      <c r="X61" s="141">
        <v>0</v>
      </c>
      <c r="Y61" s="140">
        <v>122173203</v>
      </c>
      <c r="Z61" s="140">
        <v>122173203</v>
      </c>
      <c r="AA61" s="140">
        <v>1305007</v>
      </c>
    </row>
    <row r="62" spans="1:27" s="149" customFormat="1" ht="33" x14ac:dyDescent="0.25">
      <c r="A62" s="146" t="s">
        <v>677</v>
      </c>
      <c r="B62" s="146" t="s">
        <v>678</v>
      </c>
      <c r="C62" s="146" t="s">
        <v>541</v>
      </c>
      <c r="D62" s="146" t="s">
        <v>679</v>
      </c>
      <c r="E62" s="146" t="s">
        <v>556</v>
      </c>
      <c r="F62" s="148">
        <v>62800427</v>
      </c>
      <c r="G62" s="148">
        <v>150000000</v>
      </c>
      <c r="H62" s="147">
        <v>0</v>
      </c>
      <c r="I62" s="147">
        <v>0</v>
      </c>
      <c r="J62" s="147">
        <v>0</v>
      </c>
      <c r="K62" s="147">
        <v>0</v>
      </c>
      <c r="L62" s="148">
        <v>23000000</v>
      </c>
      <c r="M62" s="148">
        <v>189800427</v>
      </c>
      <c r="N62" s="147">
        <v>0</v>
      </c>
      <c r="O62" s="148">
        <v>123532410</v>
      </c>
      <c r="P62" s="148">
        <v>123532410</v>
      </c>
      <c r="Q62" s="147">
        <v>0</v>
      </c>
      <c r="R62" s="148">
        <v>66268017</v>
      </c>
      <c r="S62" s="147">
        <v>0</v>
      </c>
      <c r="T62" s="148">
        <v>123478210</v>
      </c>
      <c r="U62" s="148">
        <v>123478210</v>
      </c>
      <c r="V62" s="148">
        <v>66322217</v>
      </c>
      <c r="W62" s="148">
        <v>123478210</v>
      </c>
      <c r="X62" s="147">
        <v>0</v>
      </c>
      <c r="Y62" s="148">
        <v>122173203</v>
      </c>
      <c r="Z62" s="148">
        <v>122173203</v>
      </c>
      <c r="AA62" s="148">
        <v>1305007</v>
      </c>
    </row>
    <row r="63" spans="1:27" s="153" customFormat="1" ht="33" x14ac:dyDescent="0.25">
      <c r="A63" s="150" t="s">
        <v>680</v>
      </c>
      <c r="B63" s="150" t="s">
        <v>681</v>
      </c>
      <c r="C63" s="150" t="s">
        <v>541</v>
      </c>
      <c r="D63" s="150" t="s">
        <v>682</v>
      </c>
      <c r="E63" s="150" t="s">
        <v>556</v>
      </c>
      <c r="F63" s="151">
        <v>0</v>
      </c>
      <c r="G63" s="152">
        <v>175000000</v>
      </c>
      <c r="H63" s="151">
        <v>0</v>
      </c>
      <c r="I63" s="151">
        <v>0</v>
      </c>
      <c r="J63" s="151">
        <v>0</v>
      </c>
      <c r="K63" s="151">
        <v>0</v>
      </c>
      <c r="L63" s="151">
        <v>0</v>
      </c>
      <c r="M63" s="152">
        <v>175000000</v>
      </c>
      <c r="N63" s="151">
        <v>0</v>
      </c>
      <c r="O63" s="151">
        <v>0</v>
      </c>
      <c r="P63" s="151">
        <v>0</v>
      </c>
      <c r="Q63" s="151">
        <v>0</v>
      </c>
      <c r="R63" s="152">
        <v>175000000</v>
      </c>
      <c r="S63" s="151">
        <v>0</v>
      </c>
      <c r="T63" s="151">
        <v>0</v>
      </c>
      <c r="U63" s="151">
        <v>0</v>
      </c>
      <c r="V63" s="152">
        <v>175000000</v>
      </c>
      <c r="W63" s="151">
        <v>0</v>
      </c>
      <c r="X63" s="151">
        <v>0</v>
      </c>
      <c r="Y63" s="151">
        <v>0</v>
      </c>
      <c r="Z63" s="151">
        <v>0</v>
      </c>
      <c r="AA63" s="151">
        <v>0</v>
      </c>
    </row>
    <row r="64" spans="1:27" ht="22.5" hidden="1" x14ac:dyDescent="0.25">
      <c r="A64" s="139" t="s">
        <v>539</v>
      </c>
      <c r="B64" s="139" t="s">
        <v>683</v>
      </c>
      <c r="C64" s="139" t="s">
        <v>541</v>
      </c>
      <c r="D64" s="139" t="s">
        <v>636</v>
      </c>
      <c r="E64" s="139" t="s">
        <v>539</v>
      </c>
      <c r="F64" s="140">
        <v>331608488</v>
      </c>
      <c r="G64" s="140">
        <v>1978268750</v>
      </c>
      <c r="H64" s="141">
        <v>0</v>
      </c>
      <c r="I64" s="141">
        <v>0</v>
      </c>
      <c r="J64" s="141">
        <v>0</v>
      </c>
      <c r="K64" s="140">
        <v>448279948</v>
      </c>
      <c r="L64" s="140">
        <v>73013147</v>
      </c>
      <c r="M64" s="140">
        <v>2685144039</v>
      </c>
      <c r="N64" s="141">
        <v>0</v>
      </c>
      <c r="O64" s="140">
        <v>884900706</v>
      </c>
      <c r="P64" s="140">
        <v>884900706</v>
      </c>
      <c r="Q64" s="141">
        <v>0</v>
      </c>
      <c r="R64" s="140">
        <v>1800243333</v>
      </c>
      <c r="S64" s="141">
        <v>0</v>
      </c>
      <c r="T64" s="140">
        <v>884900706</v>
      </c>
      <c r="U64" s="140">
        <v>884900706</v>
      </c>
      <c r="V64" s="140">
        <v>1800243333</v>
      </c>
      <c r="W64" s="140">
        <v>884900706</v>
      </c>
      <c r="X64" s="141">
        <v>0</v>
      </c>
      <c r="Y64" s="140">
        <v>808165535</v>
      </c>
      <c r="Z64" s="140">
        <v>808165535</v>
      </c>
      <c r="AA64" s="140">
        <v>76735171</v>
      </c>
    </row>
    <row r="65" spans="1:27" s="145" customFormat="1" ht="22.5" x14ac:dyDescent="0.25">
      <c r="A65" s="142" t="s">
        <v>684</v>
      </c>
      <c r="B65" s="142" t="s">
        <v>685</v>
      </c>
      <c r="C65" s="142" t="s">
        <v>541</v>
      </c>
      <c r="D65" s="142" t="s">
        <v>686</v>
      </c>
      <c r="E65" s="142" t="s">
        <v>556</v>
      </c>
      <c r="F65" s="144">
        <v>226483488</v>
      </c>
      <c r="G65" s="143">
        <v>0</v>
      </c>
      <c r="H65" s="143">
        <v>0</v>
      </c>
      <c r="I65" s="143">
        <v>0</v>
      </c>
      <c r="J65" s="143">
        <v>0</v>
      </c>
      <c r="K65" s="143">
        <v>0</v>
      </c>
      <c r="L65" s="144">
        <v>73013147</v>
      </c>
      <c r="M65" s="144">
        <v>153470341</v>
      </c>
      <c r="N65" s="143">
        <v>0</v>
      </c>
      <c r="O65" s="144">
        <v>153470341</v>
      </c>
      <c r="P65" s="144">
        <v>153470341</v>
      </c>
      <c r="Q65" s="143">
        <v>0</v>
      </c>
      <c r="R65" s="143">
        <v>0</v>
      </c>
      <c r="S65" s="143">
        <v>0</v>
      </c>
      <c r="T65" s="144">
        <v>153470341</v>
      </c>
      <c r="U65" s="144">
        <v>153470341</v>
      </c>
      <c r="V65" s="143">
        <v>0</v>
      </c>
      <c r="W65" s="144">
        <v>153470341</v>
      </c>
      <c r="X65" s="143">
        <v>0</v>
      </c>
      <c r="Y65" s="144">
        <v>76735170</v>
      </c>
      <c r="Z65" s="144">
        <v>76735170</v>
      </c>
      <c r="AA65" s="144">
        <v>76735171</v>
      </c>
    </row>
    <row r="66" spans="1:27" s="149" customFormat="1" ht="22.5" x14ac:dyDescent="0.25">
      <c r="A66" s="146" t="s">
        <v>687</v>
      </c>
      <c r="B66" s="146" t="s">
        <v>688</v>
      </c>
      <c r="C66" s="146" t="s">
        <v>541</v>
      </c>
      <c r="D66" s="146" t="s">
        <v>689</v>
      </c>
      <c r="E66" s="146" t="s">
        <v>556</v>
      </c>
      <c r="F66" s="148">
        <v>105125000</v>
      </c>
      <c r="G66" s="148">
        <v>178268750</v>
      </c>
      <c r="H66" s="147">
        <v>0</v>
      </c>
      <c r="I66" s="147">
        <v>0</v>
      </c>
      <c r="J66" s="147">
        <v>0</v>
      </c>
      <c r="K66" s="148">
        <v>448279948</v>
      </c>
      <c r="L66" s="147">
        <v>0</v>
      </c>
      <c r="M66" s="148">
        <v>731673698</v>
      </c>
      <c r="N66" s="147">
        <v>0</v>
      </c>
      <c r="O66" s="148">
        <v>731430365</v>
      </c>
      <c r="P66" s="148">
        <v>731430365</v>
      </c>
      <c r="Q66" s="147">
        <v>0</v>
      </c>
      <c r="R66" s="148">
        <v>243333</v>
      </c>
      <c r="S66" s="147">
        <v>0</v>
      </c>
      <c r="T66" s="148">
        <v>731430365</v>
      </c>
      <c r="U66" s="148">
        <v>731430365</v>
      </c>
      <c r="V66" s="148">
        <v>243333</v>
      </c>
      <c r="W66" s="148">
        <v>731430365</v>
      </c>
      <c r="X66" s="147">
        <v>0</v>
      </c>
      <c r="Y66" s="148">
        <v>731430365</v>
      </c>
      <c r="Z66" s="148">
        <v>731430365</v>
      </c>
      <c r="AA66" s="147">
        <v>0</v>
      </c>
    </row>
    <row r="67" spans="1:27" s="153" customFormat="1" ht="22.5" x14ac:dyDescent="0.25">
      <c r="A67" s="150" t="s">
        <v>690</v>
      </c>
      <c r="B67" s="150" t="s">
        <v>691</v>
      </c>
      <c r="C67" s="150" t="s">
        <v>541</v>
      </c>
      <c r="D67" s="150" t="s">
        <v>692</v>
      </c>
      <c r="E67" s="150" t="s">
        <v>556</v>
      </c>
      <c r="F67" s="151">
        <v>0</v>
      </c>
      <c r="G67" s="152">
        <v>1800000000</v>
      </c>
      <c r="H67" s="151">
        <v>0</v>
      </c>
      <c r="I67" s="151">
        <v>0</v>
      </c>
      <c r="J67" s="151">
        <v>0</v>
      </c>
      <c r="K67" s="151">
        <v>0</v>
      </c>
      <c r="L67" s="151">
        <v>0</v>
      </c>
      <c r="M67" s="152">
        <v>1800000000</v>
      </c>
      <c r="N67" s="151">
        <v>0</v>
      </c>
      <c r="O67" s="151">
        <v>0</v>
      </c>
      <c r="P67" s="151">
        <v>0</v>
      </c>
      <c r="Q67" s="151">
        <v>0</v>
      </c>
      <c r="R67" s="152">
        <v>1800000000</v>
      </c>
      <c r="S67" s="151">
        <v>0</v>
      </c>
      <c r="T67" s="151">
        <v>0</v>
      </c>
      <c r="U67" s="151">
        <v>0</v>
      </c>
      <c r="V67" s="152">
        <v>1800000000</v>
      </c>
      <c r="W67" s="151">
        <v>0</v>
      </c>
      <c r="X67" s="151">
        <v>0</v>
      </c>
      <c r="Y67" s="151">
        <v>0</v>
      </c>
      <c r="Z67" s="151">
        <v>0</v>
      </c>
      <c r="AA67" s="151">
        <v>0</v>
      </c>
    </row>
    <row r="68" spans="1:27" ht="16.5" hidden="1" customHeight="1" x14ac:dyDescent="0.25">
      <c r="A68" s="139" t="s">
        <v>539</v>
      </c>
      <c r="B68" s="139" t="s">
        <v>693</v>
      </c>
      <c r="C68" s="139" t="s">
        <v>541</v>
      </c>
      <c r="D68" s="139" t="s">
        <v>694</v>
      </c>
      <c r="E68" s="139" t="s">
        <v>539</v>
      </c>
      <c r="F68" s="141">
        <v>0</v>
      </c>
      <c r="G68" s="140">
        <v>100000000</v>
      </c>
      <c r="H68" s="141">
        <v>0</v>
      </c>
      <c r="I68" s="141">
        <v>0</v>
      </c>
      <c r="J68" s="141">
        <v>0</v>
      </c>
      <c r="K68" s="141">
        <v>0</v>
      </c>
      <c r="L68" s="141">
        <v>0</v>
      </c>
      <c r="M68" s="140">
        <v>100000000</v>
      </c>
      <c r="N68" s="141">
        <v>0</v>
      </c>
      <c r="O68" s="141">
        <v>0</v>
      </c>
      <c r="P68" s="141">
        <v>0</v>
      </c>
      <c r="Q68" s="141">
        <v>0</v>
      </c>
      <c r="R68" s="140">
        <v>100000000</v>
      </c>
      <c r="S68" s="141">
        <v>0</v>
      </c>
      <c r="T68" s="141">
        <v>0</v>
      </c>
      <c r="U68" s="141">
        <v>0</v>
      </c>
      <c r="V68" s="140">
        <v>100000000</v>
      </c>
      <c r="W68" s="141">
        <v>0</v>
      </c>
      <c r="X68" s="141">
        <v>0</v>
      </c>
      <c r="Y68" s="141">
        <v>0</v>
      </c>
      <c r="Z68" s="141">
        <v>0</v>
      </c>
      <c r="AA68" s="141">
        <v>0</v>
      </c>
    </row>
    <row r="69" spans="1:27" s="153" customFormat="1" ht="16.5" customHeight="1" x14ac:dyDescent="0.25">
      <c r="A69" s="150" t="s">
        <v>695</v>
      </c>
      <c r="B69" s="150" t="s">
        <v>696</v>
      </c>
      <c r="C69" s="150" t="s">
        <v>541</v>
      </c>
      <c r="D69" s="150" t="s">
        <v>697</v>
      </c>
      <c r="E69" s="150" t="s">
        <v>571</v>
      </c>
      <c r="F69" s="151">
        <v>0</v>
      </c>
      <c r="G69" s="152">
        <v>100000000</v>
      </c>
      <c r="H69" s="151">
        <v>0</v>
      </c>
      <c r="I69" s="151">
        <v>0</v>
      </c>
      <c r="J69" s="151">
        <v>0</v>
      </c>
      <c r="K69" s="151">
        <v>0</v>
      </c>
      <c r="L69" s="151">
        <v>0</v>
      </c>
      <c r="M69" s="152">
        <v>100000000</v>
      </c>
      <c r="N69" s="151">
        <v>0</v>
      </c>
      <c r="O69" s="151">
        <v>0</v>
      </c>
      <c r="P69" s="151">
        <v>0</v>
      </c>
      <c r="Q69" s="151">
        <v>0</v>
      </c>
      <c r="R69" s="152">
        <v>100000000</v>
      </c>
      <c r="S69" s="151">
        <v>0</v>
      </c>
      <c r="T69" s="151">
        <v>0</v>
      </c>
      <c r="U69" s="151">
        <v>0</v>
      </c>
      <c r="V69" s="152">
        <v>100000000</v>
      </c>
      <c r="W69" s="151">
        <v>0</v>
      </c>
      <c r="X69" s="151">
        <v>0</v>
      </c>
      <c r="Y69" s="151">
        <v>0</v>
      </c>
      <c r="Z69" s="151">
        <v>0</v>
      </c>
      <c r="AA69" s="151">
        <v>0</v>
      </c>
    </row>
    <row r="70" spans="1:27" ht="16.5" hidden="1" customHeight="1" x14ac:dyDescent="0.25">
      <c r="A70" s="139" t="s">
        <v>539</v>
      </c>
      <c r="B70" s="139" t="s">
        <v>698</v>
      </c>
      <c r="C70" s="139" t="s">
        <v>541</v>
      </c>
      <c r="D70" s="139" t="s">
        <v>642</v>
      </c>
      <c r="E70" s="139" t="s">
        <v>539</v>
      </c>
      <c r="F70" s="140">
        <v>2312728657</v>
      </c>
      <c r="G70" s="140">
        <v>2893757872.8200002</v>
      </c>
      <c r="H70" s="141">
        <v>0</v>
      </c>
      <c r="I70" s="141">
        <v>0</v>
      </c>
      <c r="J70" s="141">
        <v>0</v>
      </c>
      <c r="K70" s="140">
        <v>136018147</v>
      </c>
      <c r="L70" s="140">
        <v>598284948</v>
      </c>
      <c r="M70" s="140">
        <v>4744219728.8199997</v>
      </c>
      <c r="N70" s="141">
        <v>0</v>
      </c>
      <c r="O70" s="140">
        <v>3897382027.3299999</v>
      </c>
      <c r="P70" s="140">
        <v>3897382027.3299999</v>
      </c>
      <c r="Q70" s="141">
        <v>0</v>
      </c>
      <c r="R70" s="140">
        <v>846837701.49000001</v>
      </c>
      <c r="S70" s="141">
        <v>0</v>
      </c>
      <c r="T70" s="140">
        <v>3897382027.3299999</v>
      </c>
      <c r="U70" s="140">
        <v>3897382027.3299999</v>
      </c>
      <c r="V70" s="140">
        <v>846837701.49000001</v>
      </c>
      <c r="W70" s="140">
        <v>3897382027.3299999</v>
      </c>
      <c r="X70" s="141">
        <v>0</v>
      </c>
      <c r="Y70" s="140">
        <v>3836582038.3299999</v>
      </c>
      <c r="Z70" s="140">
        <v>3836582038.3299999</v>
      </c>
      <c r="AA70" s="140">
        <v>60799989</v>
      </c>
    </row>
    <row r="71" spans="1:27" s="157" customFormat="1" ht="16.5" customHeight="1" x14ac:dyDescent="0.25">
      <c r="A71" s="154" t="s">
        <v>699</v>
      </c>
      <c r="B71" s="154" t="s">
        <v>700</v>
      </c>
      <c r="C71" s="154" t="s">
        <v>541</v>
      </c>
      <c r="D71" s="154" t="s">
        <v>701</v>
      </c>
      <c r="E71" s="154" t="s">
        <v>610</v>
      </c>
      <c r="F71" s="155">
        <v>10000009</v>
      </c>
      <c r="G71" s="156">
        <v>0</v>
      </c>
      <c r="H71" s="156">
        <v>0</v>
      </c>
      <c r="I71" s="156">
        <v>0</v>
      </c>
      <c r="J71" s="156">
        <v>0</v>
      </c>
      <c r="K71" s="156">
        <v>0</v>
      </c>
      <c r="L71" s="156">
        <v>0</v>
      </c>
      <c r="M71" s="155">
        <v>10000009</v>
      </c>
      <c r="N71" s="156">
        <v>0</v>
      </c>
      <c r="O71" s="155">
        <v>10000000</v>
      </c>
      <c r="P71" s="155">
        <v>10000000</v>
      </c>
      <c r="Q71" s="156">
        <v>0</v>
      </c>
      <c r="R71" s="156">
        <v>9</v>
      </c>
      <c r="S71" s="156">
        <v>0</v>
      </c>
      <c r="T71" s="155">
        <v>10000000</v>
      </c>
      <c r="U71" s="155">
        <v>10000000</v>
      </c>
      <c r="V71" s="156">
        <v>9</v>
      </c>
      <c r="W71" s="155">
        <v>10000000</v>
      </c>
      <c r="X71" s="156">
        <v>0</v>
      </c>
      <c r="Y71" s="155">
        <v>10000000</v>
      </c>
      <c r="Z71" s="155">
        <v>10000000</v>
      </c>
      <c r="AA71" s="156">
        <v>0</v>
      </c>
    </row>
    <row r="72" spans="1:27" s="157" customFormat="1" ht="16.5" customHeight="1" x14ac:dyDescent="0.25">
      <c r="A72" s="154" t="s">
        <v>702</v>
      </c>
      <c r="B72" s="154" t="s">
        <v>703</v>
      </c>
      <c r="C72" s="154" t="s">
        <v>541</v>
      </c>
      <c r="D72" s="154" t="s">
        <v>701</v>
      </c>
      <c r="E72" s="154" t="s">
        <v>556</v>
      </c>
      <c r="F72" s="155">
        <v>20916668</v>
      </c>
      <c r="G72" s="155">
        <v>129083323</v>
      </c>
      <c r="H72" s="156">
        <v>0</v>
      </c>
      <c r="I72" s="156">
        <v>0</v>
      </c>
      <c r="J72" s="156">
        <v>0</v>
      </c>
      <c r="K72" s="156">
        <v>0</v>
      </c>
      <c r="L72" s="156">
        <v>0</v>
      </c>
      <c r="M72" s="155">
        <v>149999991</v>
      </c>
      <c r="N72" s="156">
        <v>0</v>
      </c>
      <c r="O72" s="155">
        <v>118043333</v>
      </c>
      <c r="P72" s="155">
        <v>118043333</v>
      </c>
      <c r="Q72" s="156">
        <v>0</v>
      </c>
      <c r="R72" s="155">
        <v>31956658</v>
      </c>
      <c r="S72" s="156">
        <v>0</v>
      </c>
      <c r="T72" s="155">
        <v>118043333</v>
      </c>
      <c r="U72" s="155">
        <v>118043333</v>
      </c>
      <c r="V72" s="155">
        <v>31956658</v>
      </c>
      <c r="W72" s="155">
        <v>118043333</v>
      </c>
      <c r="X72" s="156">
        <v>0</v>
      </c>
      <c r="Y72" s="155">
        <v>118043333</v>
      </c>
      <c r="Z72" s="155">
        <v>118043333</v>
      </c>
      <c r="AA72" s="156">
        <v>0</v>
      </c>
    </row>
    <row r="73" spans="1:27" s="149" customFormat="1" ht="16.5" customHeight="1" x14ac:dyDescent="0.25">
      <c r="A73" s="146" t="s">
        <v>704</v>
      </c>
      <c r="B73" s="146" t="s">
        <v>705</v>
      </c>
      <c r="C73" s="146" t="s">
        <v>541</v>
      </c>
      <c r="D73" s="146" t="s">
        <v>706</v>
      </c>
      <c r="E73" s="146" t="s">
        <v>556</v>
      </c>
      <c r="F73" s="148">
        <v>1382074573</v>
      </c>
      <c r="G73" s="148">
        <v>709978630</v>
      </c>
      <c r="H73" s="147">
        <v>0</v>
      </c>
      <c r="I73" s="147">
        <v>0</v>
      </c>
      <c r="J73" s="147">
        <v>0</v>
      </c>
      <c r="K73" s="147">
        <v>0</v>
      </c>
      <c r="L73" s="148">
        <v>468284948</v>
      </c>
      <c r="M73" s="148">
        <v>1623768255</v>
      </c>
      <c r="N73" s="147">
        <v>0</v>
      </c>
      <c r="O73" s="148">
        <v>1531276056.3299999</v>
      </c>
      <c r="P73" s="148">
        <v>1531276056.3299999</v>
      </c>
      <c r="Q73" s="147">
        <v>0</v>
      </c>
      <c r="R73" s="148">
        <v>92492198.670000002</v>
      </c>
      <c r="S73" s="147">
        <v>0</v>
      </c>
      <c r="T73" s="148">
        <v>1531276056.3299999</v>
      </c>
      <c r="U73" s="148">
        <v>1531276056.3299999</v>
      </c>
      <c r="V73" s="148">
        <v>92492198.670000002</v>
      </c>
      <c r="W73" s="148">
        <v>1531276056.3299999</v>
      </c>
      <c r="X73" s="147">
        <v>0</v>
      </c>
      <c r="Y73" s="148">
        <v>1485298567.3299999</v>
      </c>
      <c r="Z73" s="148">
        <v>1485298567.3299999</v>
      </c>
      <c r="AA73" s="148">
        <v>45977489</v>
      </c>
    </row>
    <row r="74" spans="1:27" s="161" customFormat="1" ht="16.5" customHeight="1" x14ac:dyDescent="0.25">
      <c r="A74" s="158" t="s">
        <v>707</v>
      </c>
      <c r="B74" s="158" t="s">
        <v>87</v>
      </c>
      <c r="C74" s="158" t="s">
        <v>541</v>
      </c>
      <c r="D74" s="158" t="s">
        <v>708</v>
      </c>
      <c r="E74" s="158" t="s">
        <v>556</v>
      </c>
      <c r="F74" s="159">
        <v>312133332</v>
      </c>
      <c r="G74" s="159">
        <v>510999995</v>
      </c>
      <c r="H74" s="160">
        <v>0</v>
      </c>
      <c r="I74" s="160">
        <v>0</v>
      </c>
      <c r="J74" s="160">
        <v>0</v>
      </c>
      <c r="K74" s="160">
        <v>0</v>
      </c>
      <c r="L74" s="160">
        <v>0</v>
      </c>
      <c r="M74" s="159">
        <v>823133327</v>
      </c>
      <c r="N74" s="160">
        <v>0</v>
      </c>
      <c r="O74" s="159">
        <v>800948141</v>
      </c>
      <c r="P74" s="159">
        <v>800948141</v>
      </c>
      <c r="Q74" s="160">
        <v>0</v>
      </c>
      <c r="R74" s="159">
        <v>22185186</v>
      </c>
      <c r="S74" s="160">
        <v>0</v>
      </c>
      <c r="T74" s="159">
        <v>800948141</v>
      </c>
      <c r="U74" s="159">
        <v>800948141</v>
      </c>
      <c r="V74" s="159">
        <v>22185186</v>
      </c>
      <c r="W74" s="159">
        <v>800948141</v>
      </c>
      <c r="X74" s="160">
        <v>0</v>
      </c>
      <c r="Y74" s="159">
        <v>799600641</v>
      </c>
      <c r="Z74" s="159">
        <v>799600641</v>
      </c>
      <c r="AA74" s="159">
        <v>1347500</v>
      </c>
    </row>
    <row r="75" spans="1:27" s="145" customFormat="1" ht="16.5" customHeight="1" x14ac:dyDescent="0.25">
      <c r="A75" s="142" t="s">
        <v>709</v>
      </c>
      <c r="B75" s="142" t="s">
        <v>710</v>
      </c>
      <c r="C75" s="142" t="s">
        <v>541</v>
      </c>
      <c r="D75" s="142" t="s">
        <v>711</v>
      </c>
      <c r="E75" s="142" t="s">
        <v>556</v>
      </c>
      <c r="F75" s="144">
        <v>203516512</v>
      </c>
      <c r="G75" s="144">
        <v>493333488</v>
      </c>
      <c r="H75" s="143">
        <v>0</v>
      </c>
      <c r="I75" s="143">
        <v>0</v>
      </c>
      <c r="J75" s="143">
        <v>0</v>
      </c>
      <c r="K75" s="144">
        <v>73013147</v>
      </c>
      <c r="L75" s="144">
        <v>130000000</v>
      </c>
      <c r="M75" s="144">
        <v>639863147</v>
      </c>
      <c r="N75" s="143">
        <v>0</v>
      </c>
      <c r="O75" s="144">
        <v>627457000</v>
      </c>
      <c r="P75" s="144">
        <v>627457000</v>
      </c>
      <c r="Q75" s="143">
        <v>0</v>
      </c>
      <c r="R75" s="144">
        <v>12406147</v>
      </c>
      <c r="S75" s="143">
        <v>0</v>
      </c>
      <c r="T75" s="144">
        <v>627457000</v>
      </c>
      <c r="U75" s="144">
        <v>627457000</v>
      </c>
      <c r="V75" s="144">
        <v>12406147</v>
      </c>
      <c r="W75" s="144">
        <v>627457000</v>
      </c>
      <c r="X75" s="143">
        <v>0</v>
      </c>
      <c r="Y75" s="144">
        <v>619815333</v>
      </c>
      <c r="Z75" s="144">
        <v>619815333</v>
      </c>
      <c r="AA75" s="144">
        <v>7641667</v>
      </c>
    </row>
    <row r="76" spans="1:27" s="165" customFormat="1" ht="22.5" x14ac:dyDescent="0.25">
      <c r="A76" s="162" t="s">
        <v>712</v>
      </c>
      <c r="B76" s="162" t="s">
        <v>99</v>
      </c>
      <c r="C76" s="162" t="s">
        <v>541</v>
      </c>
      <c r="D76" s="162" t="s">
        <v>713</v>
      </c>
      <c r="E76" s="162" t="s">
        <v>556</v>
      </c>
      <c r="F76" s="163">
        <v>384087563</v>
      </c>
      <c r="G76" s="163">
        <v>375362436.81999999</v>
      </c>
      <c r="H76" s="164">
        <v>0</v>
      </c>
      <c r="I76" s="164">
        <v>0</v>
      </c>
      <c r="J76" s="164">
        <v>0</v>
      </c>
      <c r="K76" s="163">
        <v>63005000</v>
      </c>
      <c r="L76" s="164">
        <v>0</v>
      </c>
      <c r="M76" s="163">
        <v>822454999.82000005</v>
      </c>
      <c r="N76" s="164">
        <v>0</v>
      </c>
      <c r="O76" s="163">
        <v>809657497</v>
      </c>
      <c r="P76" s="163">
        <v>809657497</v>
      </c>
      <c r="Q76" s="164">
        <v>0</v>
      </c>
      <c r="R76" s="163">
        <v>12797502.82</v>
      </c>
      <c r="S76" s="164">
        <v>0</v>
      </c>
      <c r="T76" s="163">
        <v>809657497</v>
      </c>
      <c r="U76" s="163">
        <v>809657497</v>
      </c>
      <c r="V76" s="163">
        <v>12797502.82</v>
      </c>
      <c r="W76" s="163">
        <v>809657497</v>
      </c>
      <c r="X76" s="164">
        <v>0</v>
      </c>
      <c r="Y76" s="163">
        <v>803824164</v>
      </c>
      <c r="Z76" s="163">
        <v>803824164</v>
      </c>
      <c r="AA76" s="163">
        <v>5833333</v>
      </c>
    </row>
    <row r="77" spans="1:27" s="153" customFormat="1" ht="16.5" customHeight="1" x14ac:dyDescent="0.25">
      <c r="A77" s="150" t="s">
        <v>714</v>
      </c>
      <c r="B77" s="150" t="s">
        <v>715</v>
      </c>
      <c r="C77" s="150" t="s">
        <v>541</v>
      </c>
      <c r="D77" s="150" t="s">
        <v>716</v>
      </c>
      <c r="E77" s="150" t="s">
        <v>571</v>
      </c>
      <c r="F77" s="151">
        <v>0</v>
      </c>
      <c r="G77" s="152">
        <v>675000000</v>
      </c>
      <c r="H77" s="151">
        <v>0</v>
      </c>
      <c r="I77" s="151">
        <v>0</v>
      </c>
      <c r="J77" s="151">
        <v>0</v>
      </c>
      <c r="K77" s="151">
        <v>0</v>
      </c>
      <c r="L77" s="151">
        <v>0</v>
      </c>
      <c r="M77" s="152">
        <v>675000000</v>
      </c>
      <c r="N77" s="151">
        <v>0</v>
      </c>
      <c r="O77" s="151">
        <v>0</v>
      </c>
      <c r="P77" s="151">
        <v>0</v>
      </c>
      <c r="Q77" s="151">
        <v>0</v>
      </c>
      <c r="R77" s="152">
        <v>675000000</v>
      </c>
      <c r="S77" s="151">
        <v>0</v>
      </c>
      <c r="T77" s="151">
        <v>0</v>
      </c>
      <c r="U77" s="151">
        <v>0</v>
      </c>
      <c r="V77" s="152">
        <v>675000000</v>
      </c>
      <c r="W77" s="151">
        <v>0</v>
      </c>
      <c r="X77" s="151">
        <v>0</v>
      </c>
      <c r="Y77" s="151">
        <v>0</v>
      </c>
      <c r="Z77" s="151">
        <v>0</v>
      </c>
      <c r="AA77" s="151">
        <v>0</v>
      </c>
    </row>
    <row r="78" spans="1:27" ht="16.5" hidden="1" customHeight="1" x14ac:dyDescent="0.25">
      <c r="A78" s="139" t="s">
        <v>539</v>
      </c>
      <c r="B78" s="139" t="s">
        <v>717</v>
      </c>
      <c r="C78" s="139" t="s">
        <v>541</v>
      </c>
      <c r="D78" s="139" t="s">
        <v>718</v>
      </c>
      <c r="E78" s="139" t="s">
        <v>539</v>
      </c>
      <c r="F78" s="141">
        <v>0</v>
      </c>
      <c r="G78" s="140">
        <v>1190000000</v>
      </c>
      <c r="H78" s="141">
        <v>0</v>
      </c>
      <c r="I78" s="141">
        <v>0</v>
      </c>
      <c r="J78" s="141">
        <v>0</v>
      </c>
      <c r="K78" s="140">
        <v>110000000</v>
      </c>
      <c r="L78" s="141">
        <v>0</v>
      </c>
      <c r="M78" s="140">
        <v>1300000000</v>
      </c>
      <c r="N78" s="141">
        <v>0</v>
      </c>
      <c r="O78" s="140">
        <v>1050000000</v>
      </c>
      <c r="P78" s="140">
        <v>1050000000</v>
      </c>
      <c r="Q78" s="141">
        <v>0</v>
      </c>
      <c r="R78" s="140">
        <v>250000000</v>
      </c>
      <c r="S78" s="141">
        <v>0</v>
      </c>
      <c r="T78" s="140">
        <v>1050000000</v>
      </c>
      <c r="U78" s="140">
        <v>1050000000</v>
      </c>
      <c r="V78" s="140">
        <v>250000000</v>
      </c>
      <c r="W78" s="140">
        <v>1050000000</v>
      </c>
      <c r="X78" s="141">
        <v>0</v>
      </c>
      <c r="Y78" s="140">
        <v>1050000000</v>
      </c>
      <c r="Z78" s="140">
        <v>1050000000</v>
      </c>
      <c r="AA78" s="141">
        <v>0</v>
      </c>
    </row>
    <row r="79" spans="1:27" ht="16.5" hidden="1" customHeight="1" x14ac:dyDescent="0.25">
      <c r="A79" s="139" t="s">
        <v>539</v>
      </c>
      <c r="B79" s="139" t="s">
        <v>719</v>
      </c>
      <c r="C79" s="139" t="s">
        <v>541</v>
      </c>
      <c r="D79" s="139" t="s">
        <v>720</v>
      </c>
      <c r="E79" s="139" t="s">
        <v>539</v>
      </c>
      <c r="F79" s="141">
        <v>0</v>
      </c>
      <c r="G79" s="140">
        <v>1190000000</v>
      </c>
      <c r="H79" s="141">
        <v>0</v>
      </c>
      <c r="I79" s="141">
        <v>0</v>
      </c>
      <c r="J79" s="141">
        <v>0</v>
      </c>
      <c r="K79" s="140">
        <v>110000000</v>
      </c>
      <c r="L79" s="141">
        <v>0</v>
      </c>
      <c r="M79" s="140">
        <v>1300000000</v>
      </c>
      <c r="N79" s="141">
        <v>0</v>
      </c>
      <c r="O79" s="140">
        <v>1050000000</v>
      </c>
      <c r="P79" s="140">
        <v>1050000000</v>
      </c>
      <c r="Q79" s="141">
        <v>0</v>
      </c>
      <c r="R79" s="140">
        <v>250000000</v>
      </c>
      <c r="S79" s="141">
        <v>0</v>
      </c>
      <c r="T79" s="140">
        <v>1050000000</v>
      </c>
      <c r="U79" s="140">
        <v>1050000000</v>
      </c>
      <c r="V79" s="140">
        <v>250000000</v>
      </c>
      <c r="W79" s="140">
        <v>1050000000</v>
      </c>
      <c r="X79" s="141">
        <v>0</v>
      </c>
      <c r="Y79" s="140">
        <v>1050000000</v>
      </c>
      <c r="Z79" s="140">
        <v>1050000000</v>
      </c>
      <c r="AA79" s="141">
        <v>0</v>
      </c>
    </row>
    <row r="80" spans="1:27" ht="16.5" hidden="1" customHeight="1" x14ac:dyDescent="0.25">
      <c r="A80" s="139" t="s">
        <v>539</v>
      </c>
      <c r="B80" s="139" t="s">
        <v>721</v>
      </c>
      <c r="C80" s="139" t="s">
        <v>541</v>
      </c>
      <c r="D80" s="139" t="s">
        <v>722</v>
      </c>
      <c r="E80" s="139" t="s">
        <v>539</v>
      </c>
      <c r="F80" s="141">
        <v>0</v>
      </c>
      <c r="G80" s="140">
        <v>1190000000</v>
      </c>
      <c r="H80" s="141">
        <v>0</v>
      </c>
      <c r="I80" s="141">
        <v>0</v>
      </c>
      <c r="J80" s="141">
        <v>0</v>
      </c>
      <c r="K80" s="140">
        <v>110000000</v>
      </c>
      <c r="L80" s="141">
        <v>0</v>
      </c>
      <c r="M80" s="140">
        <v>1300000000</v>
      </c>
      <c r="N80" s="141">
        <v>0</v>
      </c>
      <c r="O80" s="140">
        <v>1050000000</v>
      </c>
      <c r="P80" s="140">
        <v>1050000000</v>
      </c>
      <c r="Q80" s="141">
        <v>0</v>
      </c>
      <c r="R80" s="140">
        <v>250000000</v>
      </c>
      <c r="S80" s="141">
        <v>0</v>
      </c>
      <c r="T80" s="140">
        <v>1050000000</v>
      </c>
      <c r="U80" s="140">
        <v>1050000000</v>
      </c>
      <c r="V80" s="140">
        <v>250000000</v>
      </c>
      <c r="W80" s="140">
        <v>1050000000</v>
      </c>
      <c r="X80" s="141">
        <v>0</v>
      </c>
      <c r="Y80" s="140">
        <v>1050000000</v>
      </c>
      <c r="Z80" s="140">
        <v>1050000000</v>
      </c>
      <c r="AA80" s="141">
        <v>0</v>
      </c>
    </row>
    <row r="81" spans="1:27" ht="16.5" hidden="1" customHeight="1" x14ac:dyDescent="0.25">
      <c r="A81" s="139" t="s">
        <v>539</v>
      </c>
      <c r="B81" s="139" t="s">
        <v>723</v>
      </c>
      <c r="C81" s="139" t="s">
        <v>541</v>
      </c>
      <c r="D81" s="139" t="s">
        <v>724</v>
      </c>
      <c r="E81" s="139" t="s">
        <v>539</v>
      </c>
      <c r="F81" s="141">
        <v>0</v>
      </c>
      <c r="G81" s="140">
        <v>1190000000</v>
      </c>
      <c r="H81" s="141">
        <v>0</v>
      </c>
      <c r="I81" s="141">
        <v>0</v>
      </c>
      <c r="J81" s="141">
        <v>0</v>
      </c>
      <c r="K81" s="140">
        <v>110000000</v>
      </c>
      <c r="L81" s="141">
        <v>0</v>
      </c>
      <c r="M81" s="140">
        <v>1300000000</v>
      </c>
      <c r="N81" s="141">
        <v>0</v>
      </c>
      <c r="O81" s="140">
        <v>1050000000</v>
      </c>
      <c r="P81" s="140">
        <v>1050000000</v>
      </c>
      <c r="Q81" s="141">
        <v>0</v>
      </c>
      <c r="R81" s="140">
        <v>250000000</v>
      </c>
      <c r="S81" s="141">
        <v>0</v>
      </c>
      <c r="T81" s="140">
        <v>1050000000</v>
      </c>
      <c r="U81" s="140">
        <v>1050000000</v>
      </c>
      <c r="V81" s="140">
        <v>250000000</v>
      </c>
      <c r="W81" s="140">
        <v>1050000000</v>
      </c>
      <c r="X81" s="141">
        <v>0</v>
      </c>
      <c r="Y81" s="140">
        <v>1050000000</v>
      </c>
      <c r="Z81" s="140">
        <v>1050000000</v>
      </c>
      <c r="AA81" s="141">
        <v>0</v>
      </c>
    </row>
    <row r="82" spans="1:27" s="157" customFormat="1" ht="16.5" customHeight="1" x14ac:dyDescent="0.25">
      <c r="A82" s="154" t="s">
        <v>725</v>
      </c>
      <c r="B82" s="154" t="s">
        <v>726</v>
      </c>
      <c r="C82" s="154" t="s">
        <v>541</v>
      </c>
      <c r="D82" s="154" t="s">
        <v>724</v>
      </c>
      <c r="E82" s="154" t="s">
        <v>671</v>
      </c>
      <c r="F82" s="156">
        <v>0</v>
      </c>
      <c r="G82" s="155">
        <v>940000000</v>
      </c>
      <c r="H82" s="156">
        <v>0</v>
      </c>
      <c r="I82" s="156">
        <v>0</v>
      </c>
      <c r="J82" s="156">
        <v>0</v>
      </c>
      <c r="K82" s="155">
        <v>110000000</v>
      </c>
      <c r="L82" s="156">
        <v>0</v>
      </c>
      <c r="M82" s="155">
        <v>1050000000</v>
      </c>
      <c r="N82" s="156">
        <v>0</v>
      </c>
      <c r="O82" s="155">
        <v>1050000000</v>
      </c>
      <c r="P82" s="155">
        <v>1050000000</v>
      </c>
      <c r="Q82" s="156">
        <v>0</v>
      </c>
      <c r="R82" s="156">
        <v>0</v>
      </c>
      <c r="S82" s="156">
        <v>0</v>
      </c>
      <c r="T82" s="155">
        <v>1050000000</v>
      </c>
      <c r="U82" s="155">
        <v>1050000000</v>
      </c>
      <c r="V82" s="156">
        <v>0</v>
      </c>
      <c r="W82" s="155">
        <v>1050000000</v>
      </c>
      <c r="X82" s="156">
        <v>0</v>
      </c>
      <c r="Y82" s="155">
        <v>1050000000</v>
      </c>
      <c r="Z82" s="155">
        <v>1050000000</v>
      </c>
      <c r="AA82" s="156">
        <v>0</v>
      </c>
    </row>
    <row r="83" spans="1:27" s="153" customFormat="1" ht="16.5" customHeight="1" x14ac:dyDescent="0.25">
      <c r="A83" s="150" t="s">
        <v>727</v>
      </c>
      <c r="B83" s="150" t="s">
        <v>728</v>
      </c>
      <c r="C83" s="150" t="s">
        <v>541</v>
      </c>
      <c r="D83" s="150" t="s">
        <v>729</v>
      </c>
      <c r="E83" s="150" t="s">
        <v>571</v>
      </c>
      <c r="F83" s="151">
        <v>0</v>
      </c>
      <c r="G83" s="152">
        <v>250000000</v>
      </c>
      <c r="H83" s="151">
        <v>0</v>
      </c>
      <c r="I83" s="151">
        <v>0</v>
      </c>
      <c r="J83" s="151">
        <v>0</v>
      </c>
      <c r="K83" s="151">
        <v>0</v>
      </c>
      <c r="L83" s="151">
        <v>0</v>
      </c>
      <c r="M83" s="152">
        <v>250000000</v>
      </c>
      <c r="N83" s="151">
        <v>0</v>
      </c>
      <c r="O83" s="151">
        <v>0</v>
      </c>
      <c r="P83" s="151">
        <v>0</v>
      </c>
      <c r="Q83" s="151">
        <v>0</v>
      </c>
      <c r="R83" s="152">
        <v>250000000</v>
      </c>
      <c r="S83" s="151">
        <v>0</v>
      </c>
      <c r="T83" s="151">
        <v>0</v>
      </c>
      <c r="U83" s="151">
        <v>0</v>
      </c>
      <c r="V83" s="152">
        <v>250000000</v>
      </c>
      <c r="W83" s="151">
        <v>0</v>
      </c>
      <c r="X83" s="151">
        <v>0</v>
      </c>
      <c r="Y83" s="151">
        <v>0</v>
      </c>
      <c r="Z83" s="151">
        <v>0</v>
      </c>
      <c r="AA83" s="151">
        <v>0</v>
      </c>
    </row>
    <row r="85" spans="1:27" x14ac:dyDescent="0.25">
      <c r="B85" s="166" t="s">
        <v>442</v>
      </c>
      <c r="C85" s="166"/>
      <c r="D85" s="166"/>
      <c r="E85" s="166"/>
      <c r="F85" s="166"/>
      <c r="G85" s="166"/>
      <c r="H85" s="166"/>
      <c r="I85" s="166"/>
      <c r="J85" s="166"/>
      <c r="K85" s="167">
        <f>+K67+K75+K77+K80</f>
        <v>183013147</v>
      </c>
      <c r="L85" s="167">
        <f>+L68+L75+L77+L80</f>
        <v>130000000</v>
      </c>
      <c r="M85" s="168">
        <f>M59+M62+M66+M73</f>
        <v>2615542380</v>
      </c>
      <c r="N85" s="168"/>
      <c r="O85" s="168"/>
      <c r="P85" s="168"/>
      <c r="Q85" s="168"/>
      <c r="R85" s="168"/>
      <c r="S85" s="168"/>
      <c r="T85" s="168"/>
      <c r="U85" s="168">
        <f>U59+U62+U66+U73</f>
        <v>2394458231.3299999</v>
      </c>
      <c r="V85" s="168">
        <f>+V68+V75+V77+V80</f>
        <v>1037406147</v>
      </c>
      <c r="W85" s="168">
        <f>+W68+W75+W77+W80</f>
        <v>1677457000</v>
      </c>
      <c r="X85" s="168">
        <f>+X67+X75+X77+X80</f>
        <v>0</v>
      </c>
      <c r="Y85" s="169"/>
      <c r="Z85" s="168">
        <f>Z59+Z62+Z66+Z73</f>
        <v>2347175735.3299999</v>
      </c>
    </row>
    <row r="86" spans="1:27" x14ac:dyDescent="0.25">
      <c r="B86" s="170" t="s">
        <v>730</v>
      </c>
      <c r="C86" s="170"/>
      <c r="D86" s="170"/>
      <c r="E86" s="170"/>
      <c r="F86" s="170"/>
      <c r="G86" s="170"/>
      <c r="H86" s="170"/>
      <c r="I86" s="170"/>
      <c r="J86" s="170"/>
      <c r="K86" s="171">
        <f>+K73+K78+K79</f>
        <v>220000000</v>
      </c>
      <c r="L86" s="171">
        <f>+L73+L78+L79</f>
        <v>468284948</v>
      </c>
      <c r="M86" s="172">
        <f>M71+M72+M82</f>
        <v>1210000000</v>
      </c>
      <c r="N86" s="172"/>
      <c r="O86" s="172"/>
      <c r="P86" s="172"/>
      <c r="Q86" s="172"/>
      <c r="R86" s="172"/>
      <c r="S86" s="172"/>
      <c r="T86" s="172"/>
      <c r="U86" s="172">
        <f>U71+U72+U82</f>
        <v>1178043333</v>
      </c>
      <c r="V86" s="172">
        <f>+V73+V78+V79</f>
        <v>592492198.67000008</v>
      </c>
      <c r="W86" s="172">
        <f>+W73+W78+W79</f>
        <v>3631276056.3299999</v>
      </c>
      <c r="X86" s="172">
        <f>+X73+X78+X79</f>
        <v>0</v>
      </c>
      <c r="Y86" s="173"/>
      <c r="Z86" s="172">
        <f>Z71+Z72+Z82</f>
        <v>1178043333</v>
      </c>
    </row>
    <row r="87" spans="1:27" x14ac:dyDescent="0.25">
      <c r="B87" s="174" t="s">
        <v>731</v>
      </c>
      <c r="C87" s="174"/>
      <c r="D87" s="174"/>
      <c r="E87" s="174"/>
      <c r="F87" s="174"/>
      <c r="G87" s="174"/>
      <c r="H87" s="174"/>
      <c r="I87" s="174"/>
      <c r="J87" s="174"/>
      <c r="K87" s="175">
        <f>+K66+K76+K82</f>
        <v>621284948</v>
      </c>
      <c r="L87" s="175">
        <f>+L67+L76+L82</f>
        <v>0</v>
      </c>
      <c r="M87" s="176">
        <f>M58+M65+M75</f>
        <v>943333488</v>
      </c>
      <c r="N87" s="176"/>
      <c r="O87" s="176"/>
      <c r="P87" s="176"/>
      <c r="Q87" s="176"/>
      <c r="R87" s="176"/>
      <c r="S87" s="176"/>
      <c r="T87" s="176"/>
      <c r="U87" s="176">
        <f>U58+U65+U75</f>
        <v>930233505</v>
      </c>
      <c r="V87" s="176">
        <f>+V67+V76+V82</f>
        <v>1812797502.8199999</v>
      </c>
      <c r="W87" s="176">
        <f>+W67+W76+W82</f>
        <v>1859657497</v>
      </c>
      <c r="X87" s="176">
        <f>+X66+X76+X82</f>
        <v>0</v>
      </c>
      <c r="Y87" s="177"/>
      <c r="Z87" s="176">
        <f>Z58+Z65+Z75</f>
        <v>845856667</v>
      </c>
    </row>
    <row r="88" spans="1:27" x14ac:dyDescent="0.25">
      <c r="B88" s="178" t="s">
        <v>732</v>
      </c>
      <c r="C88" s="178"/>
      <c r="D88" s="178"/>
      <c r="E88" s="178"/>
      <c r="F88" s="178"/>
      <c r="G88" s="178"/>
      <c r="H88" s="178"/>
      <c r="I88" s="178"/>
      <c r="J88" s="178"/>
      <c r="K88" s="179">
        <f>+K81</f>
        <v>110000000</v>
      </c>
      <c r="L88" s="179">
        <f>+L81</f>
        <v>0</v>
      </c>
      <c r="M88" s="180">
        <f>M74</f>
        <v>823133327</v>
      </c>
      <c r="N88" s="180"/>
      <c r="O88" s="180"/>
      <c r="P88" s="180"/>
      <c r="Q88" s="180"/>
      <c r="R88" s="180"/>
      <c r="S88" s="180"/>
      <c r="T88" s="180"/>
      <c r="U88" s="180">
        <f>U74</f>
        <v>800948141</v>
      </c>
      <c r="V88" s="180">
        <f>+V81</f>
        <v>250000000</v>
      </c>
      <c r="W88" s="180">
        <f>+W81</f>
        <v>1050000000</v>
      </c>
      <c r="X88" s="180">
        <f>+X81</f>
        <v>0</v>
      </c>
      <c r="Y88" s="181"/>
      <c r="Z88" s="180">
        <f>Z74</f>
        <v>799600641</v>
      </c>
    </row>
    <row r="89" spans="1:27" x14ac:dyDescent="0.25">
      <c r="B89" s="182" t="s">
        <v>733</v>
      </c>
      <c r="C89" s="182"/>
      <c r="D89" s="182"/>
      <c r="E89" s="182"/>
      <c r="F89" s="182"/>
      <c r="G89" s="182"/>
      <c r="H89" s="182"/>
      <c r="I89" s="182"/>
      <c r="J89" s="182"/>
      <c r="K89" s="183">
        <f>+K83</f>
        <v>0</v>
      </c>
      <c r="L89" s="183">
        <f>+L83</f>
        <v>0</v>
      </c>
      <c r="M89" s="184">
        <f>M76</f>
        <v>822454999.82000005</v>
      </c>
      <c r="N89" s="184"/>
      <c r="O89" s="184"/>
      <c r="P89" s="184"/>
      <c r="Q89" s="184"/>
      <c r="R89" s="184"/>
      <c r="S89" s="184"/>
      <c r="T89" s="184"/>
      <c r="U89" s="184">
        <f>U76</f>
        <v>809657497</v>
      </c>
      <c r="V89" s="184">
        <f>+V83</f>
        <v>250000000</v>
      </c>
      <c r="W89" s="184">
        <f>+W83</f>
        <v>0</v>
      </c>
      <c r="X89" s="184">
        <f>+X83</f>
        <v>0</v>
      </c>
      <c r="Y89" s="185"/>
      <c r="Z89" s="184">
        <f>Z76</f>
        <v>803824164</v>
      </c>
    </row>
    <row r="90" spans="1:27" x14ac:dyDescent="0.25">
      <c r="B90" s="186"/>
      <c r="C90" s="186"/>
      <c r="D90" s="186"/>
      <c r="E90" s="186"/>
      <c r="F90" s="186"/>
      <c r="G90" s="186"/>
      <c r="H90" s="186"/>
      <c r="I90" s="186"/>
      <c r="J90" s="186"/>
      <c r="K90" s="186"/>
      <c r="L90" s="186"/>
      <c r="M90" s="186"/>
      <c r="N90" s="186"/>
      <c r="O90" s="186"/>
      <c r="P90" s="186"/>
      <c r="Q90" s="186"/>
      <c r="R90" s="186"/>
      <c r="S90" s="186"/>
      <c r="T90" s="186"/>
      <c r="U90" s="187"/>
      <c r="V90" s="186"/>
      <c r="W90" s="186"/>
      <c r="X90" s="186"/>
      <c r="Y90" s="188"/>
      <c r="Z90" s="188"/>
    </row>
    <row r="91" spans="1:27" x14ac:dyDescent="0.25">
      <c r="B91" s="186"/>
      <c r="C91" s="186"/>
      <c r="D91" s="186"/>
      <c r="E91" s="186"/>
      <c r="F91" s="186"/>
      <c r="G91" s="186"/>
      <c r="H91" s="186"/>
      <c r="I91" s="186"/>
      <c r="J91" s="186"/>
      <c r="K91" s="189">
        <f>SUM(K85:K89)</f>
        <v>1134298095</v>
      </c>
      <c r="L91" s="189">
        <f t="shared" ref="L91:R91" si="0">SUM(L85:L89)</f>
        <v>598284948</v>
      </c>
      <c r="M91" s="189">
        <f t="shared" si="0"/>
        <v>6414464194.8199997</v>
      </c>
      <c r="N91" s="189">
        <f t="shared" si="0"/>
        <v>0</v>
      </c>
      <c r="O91" s="189">
        <f t="shared" si="0"/>
        <v>0</v>
      </c>
      <c r="P91" s="189">
        <f t="shared" si="0"/>
        <v>0</v>
      </c>
      <c r="Q91" s="189">
        <f t="shared" si="0"/>
        <v>0</v>
      </c>
      <c r="R91" s="189">
        <f t="shared" si="0"/>
        <v>0</v>
      </c>
      <c r="S91" s="189">
        <f>SUM(S85:S89)</f>
        <v>0</v>
      </c>
      <c r="T91" s="186"/>
      <c r="U91" s="189">
        <f>U85+U86+U87+U88+U89</f>
        <v>6113340707.3299999</v>
      </c>
      <c r="V91" s="186"/>
      <c r="W91" s="186"/>
      <c r="X91" s="190">
        <f>S91/K91</f>
        <v>0</v>
      </c>
      <c r="Y91" s="188"/>
      <c r="Z91" s="191">
        <f>U91/M91</f>
        <v>0.95305555096352834</v>
      </c>
    </row>
  </sheetData>
  <mergeCells count="6">
    <mergeCell ref="A6:AA6"/>
    <mergeCell ref="A1:AA1"/>
    <mergeCell ref="A2:AA2"/>
    <mergeCell ref="A3:AA3"/>
    <mergeCell ref="A4:AA4"/>
    <mergeCell ref="A5:AA5"/>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4</vt:i4>
      </vt:variant>
    </vt:vector>
  </HeadingPairs>
  <TitlesOfParts>
    <vt:vector size="14" baseType="lpstr">
      <vt:lpstr>PA 2023</vt:lpstr>
      <vt:lpstr>Contratación</vt:lpstr>
      <vt:lpstr>Gastos_Marzo</vt:lpstr>
      <vt:lpstr>% METAS CDE</vt:lpstr>
      <vt:lpstr>Resultado por Estrategias</vt:lpstr>
      <vt:lpstr>Recursos Gestionados</vt:lpstr>
      <vt:lpstr>Gastos_Febrero</vt:lpstr>
      <vt:lpstr>Gastos_Enero</vt:lpstr>
      <vt:lpstr>Avance a cuatrienio</vt:lpstr>
      <vt:lpstr>Gastos_Dic 22</vt:lpstr>
      <vt:lpstr>'Avance a cuatrienio'!Área_de_impresión</vt:lpstr>
      <vt:lpstr>Contratación!Área_de_impresión</vt:lpstr>
      <vt:lpstr>'Resultado por Estrategias'!Área_de_impresión</vt:lpstr>
      <vt:lpstr>'Avance a cuatrienio'!Títulos_a_imprimir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Yurany Uriza</dc:creator>
  <cp:lastModifiedBy>Yurany Uriza</cp:lastModifiedBy>
  <dcterms:created xsi:type="dcterms:W3CDTF">2023-03-10T19:38:46Z</dcterms:created>
  <dcterms:modified xsi:type="dcterms:W3CDTF">2023-04-11T20:33:38Z</dcterms:modified>
</cp:coreProperties>
</file>